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17720" yWindow="1640" windowWidth="29740" windowHeight="226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  <c r="BC11" i="1"/>
  <c r="AR3" i="1"/>
  <c r="AR8" i="1"/>
  <c r="AL20" i="1"/>
  <c r="AL22" i="1"/>
  <c r="AH22" i="1"/>
  <c r="BD22" i="1"/>
  <c r="AL23" i="1"/>
  <c r="AH23" i="1"/>
  <c r="BD23" i="1"/>
  <c r="AL24" i="1"/>
  <c r="AH24" i="1"/>
  <c r="BD24" i="1"/>
  <c r="AL25" i="1"/>
  <c r="AH25" i="1"/>
  <c r="BD25" i="1"/>
  <c r="AL27" i="1"/>
  <c r="AH27" i="1"/>
  <c r="BD27" i="1"/>
  <c r="AL28" i="1"/>
  <c r="AH28" i="1"/>
  <c r="BD28" i="1"/>
  <c r="AL29" i="1"/>
  <c r="AH29" i="1"/>
  <c r="BD29" i="1"/>
  <c r="AL30" i="1"/>
  <c r="AH30" i="1"/>
  <c r="BD30" i="1"/>
  <c r="AL31" i="1"/>
  <c r="AH31" i="1"/>
  <c r="BD31" i="1"/>
  <c r="AL32" i="1"/>
  <c r="AH32" i="1"/>
  <c r="BD32" i="1"/>
  <c r="AL33" i="1"/>
  <c r="AH33" i="1"/>
  <c r="BD33" i="1"/>
  <c r="AL34" i="1"/>
  <c r="AH34" i="1"/>
  <c r="BD34" i="1"/>
  <c r="AL35" i="1"/>
  <c r="AH35" i="1"/>
  <c r="BD35" i="1"/>
  <c r="AL36" i="1"/>
  <c r="AH36" i="1"/>
  <c r="BD36" i="1"/>
  <c r="AL37" i="1"/>
  <c r="AH37" i="1"/>
  <c r="BD37" i="1"/>
  <c r="AL38" i="1"/>
  <c r="AH38" i="1"/>
  <c r="BD38" i="1"/>
  <c r="AL39" i="1"/>
  <c r="AH39" i="1"/>
  <c r="BD39" i="1"/>
  <c r="AL40" i="1"/>
  <c r="AH40" i="1"/>
  <c r="BD40" i="1"/>
  <c r="AL41" i="1"/>
  <c r="AH41" i="1"/>
  <c r="BD41" i="1"/>
  <c r="AL42" i="1"/>
  <c r="AH42" i="1"/>
  <c r="BD42" i="1"/>
  <c r="AL43" i="1"/>
  <c r="AH43" i="1"/>
  <c r="BD43" i="1"/>
  <c r="AL44" i="1"/>
  <c r="AH44" i="1"/>
  <c r="BD44" i="1"/>
  <c r="AL45" i="1"/>
  <c r="AH45" i="1"/>
  <c r="BD45" i="1"/>
  <c r="AL46" i="1"/>
  <c r="AH46" i="1"/>
  <c r="BD46" i="1"/>
  <c r="AL47" i="1"/>
  <c r="AH47" i="1"/>
  <c r="BD47" i="1"/>
  <c r="AL48" i="1"/>
  <c r="AH48" i="1"/>
  <c r="BD48" i="1"/>
  <c r="AL49" i="1"/>
  <c r="AH49" i="1"/>
  <c r="BD49" i="1"/>
  <c r="AL50" i="1"/>
  <c r="AH50" i="1"/>
  <c r="BD50" i="1"/>
  <c r="AL51" i="1"/>
  <c r="AH51" i="1"/>
  <c r="BD51" i="1"/>
  <c r="AL52" i="1"/>
  <c r="AH52" i="1"/>
  <c r="BD52" i="1"/>
  <c r="AL53" i="1"/>
  <c r="AH53" i="1"/>
  <c r="BD53" i="1"/>
  <c r="AL54" i="1"/>
  <c r="AH54" i="1"/>
  <c r="BD54" i="1"/>
  <c r="AL55" i="1"/>
  <c r="AH55" i="1"/>
  <c r="BD55" i="1"/>
  <c r="AL56" i="1"/>
  <c r="AH56" i="1"/>
  <c r="BD56" i="1"/>
  <c r="AL57" i="1"/>
  <c r="AH57" i="1"/>
  <c r="BD57" i="1"/>
  <c r="AL58" i="1"/>
  <c r="AH58" i="1"/>
  <c r="BD58" i="1"/>
  <c r="AL59" i="1"/>
  <c r="AH59" i="1"/>
  <c r="BD59" i="1"/>
  <c r="AL60" i="1"/>
  <c r="AH60" i="1"/>
  <c r="BD60" i="1"/>
  <c r="AL61" i="1"/>
  <c r="AH61" i="1"/>
  <c r="BD61" i="1"/>
  <c r="AL62" i="1"/>
  <c r="AH62" i="1"/>
  <c r="BD62" i="1"/>
  <c r="AL63" i="1"/>
  <c r="AH63" i="1"/>
  <c r="BD63" i="1"/>
  <c r="AL64" i="1"/>
  <c r="AH64" i="1"/>
  <c r="BD64" i="1"/>
  <c r="AL65" i="1"/>
  <c r="AH65" i="1"/>
  <c r="BD65" i="1"/>
  <c r="AL66" i="1"/>
  <c r="AH66" i="1"/>
  <c r="BD66" i="1"/>
  <c r="AL67" i="1"/>
  <c r="AH67" i="1"/>
  <c r="BD67" i="1"/>
  <c r="AL68" i="1"/>
  <c r="AH68" i="1"/>
  <c r="BD68" i="1"/>
  <c r="AL69" i="1"/>
  <c r="AH69" i="1"/>
  <c r="BD69" i="1"/>
  <c r="AL70" i="1"/>
  <c r="AH70" i="1"/>
  <c r="BD70" i="1"/>
  <c r="AL71" i="1"/>
  <c r="AH71" i="1"/>
  <c r="BD71" i="1"/>
  <c r="AL72" i="1"/>
  <c r="AH72" i="1"/>
  <c r="BD72" i="1"/>
  <c r="AL73" i="1"/>
  <c r="AH73" i="1"/>
  <c r="BD73" i="1"/>
  <c r="AL74" i="1"/>
  <c r="AH74" i="1"/>
  <c r="BD74" i="1"/>
  <c r="AL75" i="1"/>
  <c r="AH75" i="1"/>
  <c r="BD75" i="1"/>
  <c r="AL76" i="1"/>
  <c r="AH76" i="1"/>
  <c r="BD76" i="1"/>
  <c r="AL77" i="1"/>
  <c r="AH77" i="1"/>
  <c r="BD77" i="1"/>
  <c r="AL78" i="1"/>
  <c r="AH78" i="1"/>
  <c r="BD78" i="1"/>
  <c r="AL79" i="1"/>
  <c r="AH79" i="1"/>
  <c r="BD79" i="1"/>
  <c r="AL80" i="1"/>
  <c r="AH80" i="1"/>
  <c r="BD80" i="1"/>
  <c r="AL81" i="1"/>
  <c r="AH81" i="1"/>
  <c r="BD81" i="1"/>
  <c r="AL82" i="1"/>
  <c r="AH82" i="1"/>
  <c r="BD82" i="1"/>
  <c r="AL83" i="1"/>
  <c r="AH83" i="1"/>
  <c r="BD83" i="1"/>
  <c r="AL84" i="1"/>
  <c r="AH84" i="1"/>
  <c r="BD84" i="1"/>
  <c r="AL85" i="1"/>
  <c r="AH85" i="1"/>
  <c r="BD85" i="1"/>
  <c r="AL86" i="1"/>
  <c r="AH86" i="1"/>
  <c r="BD86" i="1"/>
  <c r="AL87" i="1"/>
  <c r="AH87" i="1"/>
  <c r="BD87" i="1"/>
  <c r="AL88" i="1"/>
  <c r="AH88" i="1"/>
  <c r="BD88" i="1"/>
  <c r="AL89" i="1"/>
  <c r="AH89" i="1"/>
  <c r="BD89" i="1"/>
  <c r="AL90" i="1"/>
  <c r="AH90" i="1"/>
  <c r="BD90" i="1"/>
  <c r="AL91" i="1"/>
  <c r="AH91" i="1"/>
  <c r="BD91" i="1"/>
  <c r="AL92" i="1"/>
  <c r="AH92" i="1"/>
  <c r="BD92" i="1"/>
  <c r="AL93" i="1"/>
  <c r="AH93" i="1"/>
  <c r="BD93" i="1"/>
  <c r="AL94" i="1"/>
  <c r="AH94" i="1"/>
  <c r="BD94" i="1"/>
  <c r="AL95" i="1"/>
  <c r="AH95" i="1"/>
  <c r="BD95" i="1"/>
  <c r="AL96" i="1"/>
  <c r="AH96" i="1"/>
  <c r="BD96" i="1"/>
  <c r="AL97" i="1"/>
  <c r="AH97" i="1"/>
  <c r="BD97" i="1"/>
  <c r="AL98" i="1"/>
  <c r="AH98" i="1"/>
  <c r="BD98" i="1"/>
  <c r="AL99" i="1"/>
  <c r="AH99" i="1"/>
  <c r="BD99" i="1"/>
  <c r="AL100" i="1"/>
  <c r="AH100" i="1"/>
  <c r="BD100" i="1"/>
  <c r="AL101" i="1"/>
  <c r="AH101" i="1"/>
  <c r="BD101" i="1"/>
  <c r="AL102" i="1"/>
  <c r="AH102" i="1"/>
  <c r="BD102" i="1"/>
  <c r="AL103" i="1"/>
  <c r="AH103" i="1"/>
  <c r="BD103" i="1"/>
  <c r="AL104" i="1"/>
  <c r="AH104" i="1"/>
  <c r="BD104" i="1"/>
  <c r="AL105" i="1"/>
  <c r="AH105" i="1"/>
  <c r="BD105" i="1"/>
  <c r="AL106" i="1"/>
  <c r="AH106" i="1"/>
  <c r="BD106" i="1"/>
  <c r="AL107" i="1"/>
  <c r="AH107" i="1"/>
  <c r="BD107" i="1"/>
  <c r="AL108" i="1"/>
  <c r="AH108" i="1"/>
  <c r="BD108" i="1"/>
  <c r="AL109" i="1"/>
  <c r="AH109" i="1"/>
  <c r="BD109" i="1"/>
  <c r="AL110" i="1"/>
  <c r="AH110" i="1"/>
  <c r="BD110" i="1"/>
  <c r="AL111" i="1"/>
  <c r="AH111" i="1"/>
  <c r="BD111" i="1"/>
  <c r="AL112" i="1"/>
  <c r="AH112" i="1"/>
  <c r="BD112" i="1"/>
  <c r="AL113" i="1"/>
  <c r="AH113" i="1"/>
  <c r="BD113" i="1"/>
  <c r="AL114" i="1"/>
  <c r="AH114" i="1"/>
  <c r="BD114" i="1"/>
  <c r="AL115" i="1"/>
  <c r="AH115" i="1"/>
  <c r="BD115" i="1"/>
  <c r="AL116" i="1"/>
  <c r="AH116" i="1"/>
  <c r="BD116" i="1"/>
  <c r="AL117" i="1"/>
  <c r="AH117" i="1"/>
  <c r="BD117" i="1"/>
  <c r="AL118" i="1"/>
  <c r="AH118" i="1"/>
  <c r="BD118" i="1"/>
  <c r="AL119" i="1"/>
  <c r="AH119" i="1"/>
  <c r="BD119" i="1"/>
  <c r="AL120" i="1"/>
  <c r="AH120" i="1"/>
  <c r="BD120" i="1"/>
  <c r="AL121" i="1"/>
  <c r="AH121" i="1"/>
  <c r="BD121" i="1"/>
  <c r="AL122" i="1"/>
  <c r="AH122" i="1"/>
  <c r="BD122" i="1"/>
  <c r="AL123" i="1"/>
  <c r="AH123" i="1"/>
  <c r="BD123" i="1"/>
  <c r="AL124" i="1"/>
  <c r="AH124" i="1"/>
  <c r="BD124" i="1"/>
  <c r="AL125" i="1"/>
  <c r="AH125" i="1"/>
  <c r="BD125" i="1"/>
  <c r="AL126" i="1"/>
  <c r="AH126" i="1"/>
  <c r="BD126" i="1"/>
  <c r="AL127" i="1"/>
  <c r="AH127" i="1"/>
  <c r="BD127" i="1"/>
  <c r="AL128" i="1"/>
  <c r="AH128" i="1"/>
  <c r="BD128" i="1"/>
  <c r="AL129" i="1"/>
  <c r="AH129" i="1"/>
  <c r="BD129" i="1"/>
  <c r="AL130" i="1"/>
  <c r="AH130" i="1"/>
  <c r="BD130" i="1"/>
  <c r="AL131" i="1"/>
  <c r="AH131" i="1"/>
  <c r="BD131" i="1"/>
  <c r="AL132" i="1"/>
  <c r="AH132" i="1"/>
  <c r="BD132" i="1"/>
  <c r="AL133" i="1"/>
  <c r="AH133" i="1"/>
  <c r="BD133" i="1"/>
  <c r="AL134" i="1"/>
  <c r="AH134" i="1"/>
  <c r="BD134" i="1"/>
  <c r="AL135" i="1"/>
  <c r="AH135" i="1"/>
  <c r="BD135" i="1"/>
  <c r="AL136" i="1"/>
  <c r="AH136" i="1"/>
  <c r="BD136" i="1"/>
  <c r="AL137" i="1"/>
  <c r="AH137" i="1"/>
  <c r="BD137" i="1"/>
  <c r="AL138" i="1"/>
  <c r="AH138" i="1"/>
  <c r="BD138" i="1"/>
  <c r="AL139" i="1"/>
  <c r="AH139" i="1"/>
  <c r="BD139" i="1"/>
  <c r="AL140" i="1"/>
  <c r="AH140" i="1"/>
  <c r="BD140" i="1"/>
  <c r="AL141" i="1"/>
  <c r="AH141" i="1"/>
  <c r="BD141" i="1"/>
  <c r="AL142" i="1"/>
  <c r="AH142" i="1"/>
  <c r="BD142" i="1"/>
  <c r="AL143" i="1"/>
  <c r="AH143" i="1"/>
  <c r="BD143" i="1"/>
  <c r="AL144" i="1"/>
  <c r="AH144" i="1"/>
  <c r="BD144" i="1"/>
  <c r="AL145" i="1"/>
  <c r="AH145" i="1"/>
  <c r="BD145" i="1"/>
  <c r="AL146" i="1"/>
  <c r="AH146" i="1"/>
  <c r="BD146" i="1"/>
  <c r="AL147" i="1"/>
  <c r="AH147" i="1"/>
  <c r="BD147" i="1"/>
  <c r="AL148" i="1"/>
  <c r="AH148" i="1"/>
  <c r="BD148" i="1"/>
  <c r="AL149" i="1"/>
  <c r="AH149" i="1"/>
  <c r="BD149" i="1"/>
  <c r="AL150" i="1"/>
  <c r="AH150" i="1"/>
  <c r="BD150" i="1"/>
  <c r="AL151" i="1"/>
  <c r="AH151" i="1"/>
  <c r="BD151" i="1"/>
  <c r="AL152" i="1"/>
  <c r="AH152" i="1"/>
  <c r="BD152" i="1"/>
  <c r="AL153" i="1"/>
  <c r="AH153" i="1"/>
  <c r="BD153" i="1"/>
  <c r="AL154" i="1"/>
  <c r="AH154" i="1"/>
  <c r="BD154" i="1"/>
  <c r="AL155" i="1"/>
  <c r="AH155" i="1"/>
  <c r="BD155" i="1"/>
  <c r="AL156" i="1"/>
  <c r="AH156" i="1"/>
  <c r="BD156" i="1"/>
  <c r="AL157" i="1"/>
  <c r="AH157" i="1"/>
  <c r="BD157" i="1"/>
  <c r="AL158" i="1"/>
  <c r="AH158" i="1"/>
  <c r="BD158" i="1"/>
  <c r="AL159" i="1"/>
  <c r="AH159" i="1"/>
  <c r="BD159" i="1"/>
  <c r="AL160" i="1"/>
  <c r="AH160" i="1"/>
  <c r="BD160" i="1"/>
  <c r="AL161" i="1"/>
  <c r="AH161" i="1"/>
  <c r="BD161" i="1"/>
  <c r="AL162" i="1"/>
  <c r="AH162" i="1"/>
  <c r="BD162" i="1"/>
  <c r="AL163" i="1"/>
  <c r="AH163" i="1"/>
  <c r="BD163" i="1"/>
  <c r="AL164" i="1"/>
  <c r="AH164" i="1"/>
  <c r="BD164" i="1"/>
  <c r="AL165" i="1"/>
  <c r="AH165" i="1"/>
  <c r="BD165" i="1"/>
  <c r="AL166" i="1"/>
  <c r="AH166" i="1"/>
  <c r="BD166" i="1"/>
  <c r="AL167" i="1"/>
  <c r="AH167" i="1"/>
  <c r="BD167" i="1"/>
  <c r="AL168" i="1"/>
  <c r="AH168" i="1"/>
  <c r="BD168" i="1"/>
  <c r="AL169" i="1"/>
  <c r="AH169" i="1"/>
  <c r="BD169" i="1"/>
  <c r="AL170" i="1"/>
  <c r="AH170" i="1"/>
  <c r="BD170" i="1"/>
  <c r="AL171" i="1"/>
  <c r="AH171" i="1"/>
  <c r="BD171" i="1"/>
  <c r="AL172" i="1"/>
  <c r="AH172" i="1"/>
  <c r="BD172" i="1"/>
  <c r="AL173" i="1"/>
  <c r="AH173" i="1"/>
  <c r="BD173" i="1"/>
  <c r="AL174" i="1"/>
  <c r="AH174" i="1"/>
  <c r="BD174" i="1"/>
  <c r="AL175" i="1"/>
  <c r="AH175" i="1"/>
  <c r="BD175" i="1"/>
  <c r="AL176" i="1"/>
  <c r="AH176" i="1"/>
  <c r="BD176" i="1"/>
  <c r="AL177" i="1"/>
  <c r="AH177" i="1"/>
  <c r="BD177" i="1"/>
  <c r="AL178" i="1"/>
  <c r="AH178" i="1"/>
  <c r="BD178" i="1"/>
  <c r="AL179" i="1"/>
  <c r="AH179" i="1"/>
  <c r="BD179" i="1"/>
  <c r="AL180" i="1"/>
  <c r="AH180" i="1"/>
  <c r="BD180" i="1"/>
  <c r="AL181" i="1"/>
  <c r="AH181" i="1"/>
  <c r="BD181" i="1"/>
  <c r="AL182" i="1"/>
  <c r="AH182" i="1"/>
  <c r="BD182" i="1"/>
  <c r="AL183" i="1"/>
  <c r="AH183" i="1"/>
  <c r="BD183" i="1"/>
  <c r="AL184" i="1"/>
  <c r="AH184" i="1"/>
  <c r="BD184" i="1"/>
  <c r="AL185" i="1"/>
  <c r="AH185" i="1"/>
  <c r="BD185" i="1"/>
  <c r="AL186" i="1"/>
  <c r="AH186" i="1"/>
  <c r="BD186" i="1"/>
  <c r="AL187" i="1"/>
  <c r="AH187" i="1"/>
  <c r="BD187" i="1"/>
  <c r="AL188" i="1"/>
  <c r="AH188" i="1"/>
  <c r="BD188" i="1"/>
  <c r="AL189" i="1"/>
  <c r="AH189" i="1"/>
  <c r="BD189" i="1"/>
  <c r="AL190" i="1"/>
  <c r="AH190" i="1"/>
  <c r="BD190" i="1"/>
  <c r="AL191" i="1"/>
  <c r="AH191" i="1"/>
  <c r="BD191" i="1"/>
  <c r="AL192" i="1"/>
  <c r="AH192" i="1"/>
  <c r="BD192" i="1"/>
  <c r="AL193" i="1"/>
  <c r="AH193" i="1"/>
  <c r="BD193" i="1"/>
  <c r="AL194" i="1"/>
  <c r="AH194" i="1"/>
  <c r="BD194" i="1"/>
  <c r="AL195" i="1"/>
  <c r="AH195" i="1"/>
  <c r="BD195" i="1"/>
  <c r="AL196" i="1"/>
  <c r="AH196" i="1"/>
  <c r="BD196" i="1"/>
  <c r="AL197" i="1"/>
  <c r="AH197" i="1"/>
  <c r="BD197" i="1"/>
  <c r="AL198" i="1"/>
  <c r="AH198" i="1"/>
  <c r="BD198" i="1"/>
  <c r="AL199" i="1"/>
  <c r="AH199" i="1"/>
  <c r="BD199" i="1"/>
  <c r="AL200" i="1"/>
  <c r="AH200" i="1"/>
  <c r="BD200" i="1"/>
  <c r="AL201" i="1"/>
  <c r="AH201" i="1"/>
  <c r="BD201" i="1"/>
  <c r="AL202" i="1"/>
  <c r="AH202" i="1"/>
  <c r="BD202" i="1"/>
  <c r="AL203" i="1"/>
  <c r="AH203" i="1"/>
  <c r="BD203" i="1"/>
  <c r="AL204" i="1"/>
  <c r="AH204" i="1"/>
  <c r="BD204" i="1"/>
  <c r="AL205" i="1"/>
  <c r="AH205" i="1"/>
  <c r="BD205" i="1"/>
  <c r="AL206" i="1"/>
  <c r="AH206" i="1"/>
  <c r="BD206" i="1"/>
  <c r="BD11" i="1"/>
  <c r="BE11" i="1"/>
  <c r="BF11" i="1"/>
  <c r="BD10" i="1"/>
  <c r="BG11" i="1"/>
  <c r="BH11" i="1"/>
  <c r="BC12" i="1"/>
  <c r="BD12" i="1"/>
  <c r="BE12" i="1"/>
  <c r="BF12" i="1"/>
  <c r="BG12" i="1"/>
  <c r="BH12" i="1"/>
  <c r="BC13" i="1"/>
  <c r="BD13" i="1"/>
  <c r="BE13" i="1"/>
  <c r="BF13" i="1"/>
  <c r="BG13" i="1"/>
  <c r="BH13" i="1"/>
  <c r="BC14" i="1"/>
  <c r="BD14" i="1"/>
  <c r="BE14" i="1"/>
  <c r="BG14" i="1"/>
  <c r="BC15" i="1"/>
  <c r="BD15" i="1"/>
  <c r="BE15" i="1"/>
  <c r="BF15" i="1"/>
  <c r="BG15" i="1"/>
  <c r="BH15" i="1"/>
  <c r="BC16" i="1"/>
  <c r="BD16" i="1"/>
  <c r="BE16" i="1"/>
  <c r="BF16" i="1"/>
  <c r="BG16" i="1"/>
  <c r="BH16" i="1"/>
  <c r="BC17" i="1"/>
  <c r="BD17" i="1"/>
  <c r="BE17" i="1"/>
  <c r="BF17" i="1"/>
  <c r="BG17" i="1"/>
  <c r="BH17" i="1"/>
  <c r="BC7" i="1"/>
  <c r="BC8" i="1"/>
  <c r="BC9" i="1"/>
  <c r="BC10" i="1"/>
  <c r="AI88" i="1"/>
  <c r="AI87" i="1"/>
  <c r="BE88" i="1"/>
  <c r="Y89" i="1"/>
  <c r="AI89" i="1"/>
  <c r="BE89" i="1"/>
  <c r="Y90" i="1"/>
  <c r="AI90" i="1"/>
  <c r="BE90" i="1"/>
  <c r="AI91" i="1"/>
  <c r="BE91" i="1"/>
  <c r="Y92" i="1"/>
  <c r="AI92" i="1"/>
  <c r="BE92" i="1"/>
  <c r="Y93" i="1"/>
  <c r="AI93" i="1"/>
  <c r="BE93" i="1"/>
  <c r="Y94" i="1"/>
  <c r="AI94" i="1"/>
  <c r="BE94" i="1"/>
  <c r="AI95" i="1"/>
  <c r="BE95" i="1"/>
  <c r="Y96" i="1"/>
  <c r="AI96" i="1"/>
  <c r="BE96" i="1"/>
  <c r="Y97" i="1"/>
  <c r="AI97" i="1"/>
  <c r="BE97" i="1"/>
  <c r="Y98" i="1"/>
  <c r="AI98" i="1"/>
  <c r="BE98" i="1"/>
  <c r="AI99" i="1"/>
  <c r="BE99" i="1"/>
  <c r="Y100" i="1"/>
  <c r="AI100" i="1"/>
  <c r="BE100" i="1"/>
  <c r="Y101" i="1"/>
  <c r="AI101" i="1"/>
  <c r="BE101" i="1"/>
  <c r="Y102" i="1"/>
  <c r="AI102" i="1"/>
  <c r="BE102" i="1"/>
  <c r="AI103" i="1"/>
  <c r="BE103" i="1"/>
  <c r="Y104" i="1"/>
  <c r="AI104" i="1"/>
  <c r="BE104" i="1"/>
  <c r="Y105" i="1"/>
  <c r="AI105" i="1"/>
  <c r="BE105" i="1"/>
  <c r="Y106" i="1"/>
  <c r="AI106" i="1"/>
  <c r="BE106" i="1"/>
  <c r="AI107" i="1"/>
  <c r="BE107" i="1"/>
  <c r="Y108" i="1"/>
  <c r="AI108" i="1"/>
  <c r="BE108" i="1"/>
  <c r="Y109" i="1"/>
  <c r="AI109" i="1"/>
  <c r="BE109" i="1"/>
  <c r="Y110" i="1"/>
  <c r="AI110" i="1"/>
  <c r="BE110" i="1"/>
  <c r="AI111" i="1"/>
  <c r="BE111" i="1"/>
  <c r="Y112" i="1"/>
  <c r="AI112" i="1"/>
  <c r="BE112" i="1"/>
  <c r="Y113" i="1"/>
  <c r="AI113" i="1"/>
  <c r="BE113" i="1"/>
  <c r="Y114" i="1"/>
  <c r="AI114" i="1"/>
  <c r="BE114" i="1"/>
  <c r="AI115" i="1"/>
  <c r="BE115" i="1"/>
  <c r="Y116" i="1"/>
  <c r="AI116" i="1"/>
  <c r="BE116" i="1"/>
  <c r="Y117" i="1"/>
  <c r="AI117" i="1"/>
  <c r="BE117" i="1"/>
  <c r="Y118" i="1"/>
  <c r="AI118" i="1"/>
  <c r="BE118" i="1"/>
  <c r="AI119" i="1"/>
  <c r="BE119" i="1"/>
  <c r="Y120" i="1"/>
  <c r="AI120" i="1"/>
  <c r="BE120" i="1"/>
  <c r="Y121" i="1"/>
  <c r="AI121" i="1"/>
  <c r="BE121" i="1"/>
  <c r="Y122" i="1"/>
  <c r="AI122" i="1"/>
  <c r="BE122" i="1"/>
  <c r="AI123" i="1"/>
  <c r="BE123" i="1"/>
  <c r="Y124" i="1"/>
  <c r="AI124" i="1"/>
  <c r="BE124" i="1"/>
  <c r="Y125" i="1"/>
  <c r="AI125" i="1"/>
  <c r="BE125" i="1"/>
  <c r="Y126" i="1"/>
  <c r="AI126" i="1"/>
  <c r="BE126" i="1"/>
  <c r="AI127" i="1"/>
  <c r="BE127" i="1"/>
  <c r="Y128" i="1"/>
  <c r="AI128" i="1"/>
  <c r="BE128" i="1"/>
  <c r="Y129" i="1"/>
  <c r="AI129" i="1"/>
  <c r="BE129" i="1"/>
  <c r="Y130" i="1"/>
  <c r="AI130" i="1"/>
  <c r="BE130" i="1"/>
  <c r="AI131" i="1"/>
  <c r="BE131" i="1"/>
  <c r="Y132" i="1"/>
  <c r="AI132" i="1"/>
  <c r="BE132" i="1"/>
  <c r="Y133" i="1"/>
  <c r="AI133" i="1"/>
  <c r="BE133" i="1"/>
  <c r="Y134" i="1"/>
  <c r="AI134" i="1"/>
  <c r="BE134" i="1"/>
  <c r="AI135" i="1"/>
  <c r="BE135" i="1"/>
  <c r="Y136" i="1"/>
  <c r="AI136" i="1"/>
  <c r="BE136" i="1"/>
  <c r="Y137" i="1"/>
  <c r="AI137" i="1"/>
  <c r="BE137" i="1"/>
  <c r="Y138" i="1"/>
  <c r="AI138" i="1"/>
  <c r="BE138" i="1"/>
  <c r="AI139" i="1"/>
  <c r="BE139" i="1"/>
  <c r="Y140" i="1"/>
  <c r="AI140" i="1"/>
  <c r="BE140" i="1"/>
  <c r="Y141" i="1"/>
  <c r="AI141" i="1"/>
  <c r="BE141" i="1"/>
  <c r="Y142" i="1"/>
  <c r="AI142" i="1"/>
  <c r="BE142" i="1"/>
  <c r="AI143" i="1"/>
  <c r="BE143" i="1"/>
  <c r="Y144" i="1"/>
  <c r="AI144" i="1"/>
  <c r="BE144" i="1"/>
  <c r="Y145" i="1"/>
  <c r="AI145" i="1"/>
  <c r="BE145" i="1"/>
  <c r="Y146" i="1"/>
  <c r="AI146" i="1"/>
  <c r="BE146" i="1"/>
  <c r="AI147" i="1"/>
  <c r="BE147" i="1"/>
  <c r="Y148" i="1"/>
  <c r="AI148" i="1"/>
  <c r="BE148" i="1"/>
  <c r="AI149" i="1"/>
  <c r="BE149" i="1"/>
  <c r="AI150" i="1"/>
  <c r="BE150" i="1"/>
  <c r="Y151" i="1"/>
  <c r="AI151" i="1"/>
  <c r="BE151" i="1"/>
  <c r="Y152" i="1"/>
  <c r="AI152" i="1"/>
  <c r="BE152" i="1"/>
  <c r="Y153" i="1"/>
  <c r="AI153" i="1"/>
  <c r="BE153" i="1"/>
  <c r="Y154" i="1"/>
  <c r="AI154" i="1"/>
  <c r="BE154" i="1"/>
  <c r="Y155" i="1"/>
  <c r="AI155" i="1"/>
  <c r="BE155" i="1"/>
  <c r="Y156" i="1"/>
  <c r="AI156" i="1"/>
  <c r="BE156" i="1"/>
  <c r="Y157" i="1"/>
  <c r="AI157" i="1"/>
  <c r="BE157" i="1"/>
  <c r="Y158" i="1"/>
  <c r="AI158" i="1"/>
  <c r="BE158" i="1"/>
  <c r="Y159" i="1"/>
  <c r="AI159" i="1"/>
  <c r="BE159" i="1"/>
  <c r="Y160" i="1"/>
  <c r="AI160" i="1"/>
  <c r="BE160" i="1"/>
  <c r="Y161" i="1"/>
  <c r="AI161" i="1"/>
  <c r="BE161" i="1"/>
  <c r="Y162" i="1"/>
  <c r="AI162" i="1"/>
  <c r="BE162" i="1"/>
  <c r="Y163" i="1"/>
  <c r="AI163" i="1"/>
  <c r="BE163" i="1"/>
  <c r="Y164" i="1"/>
  <c r="AI164" i="1"/>
  <c r="BE164" i="1"/>
  <c r="Y165" i="1"/>
  <c r="AI165" i="1"/>
  <c r="BE165" i="1"/>
  <c r="Y166" i="1"/>
  <c r="AI166" i="1"/>
  <c r="BE166" i="1"/>
  <c r="Y167" i="1"/>
  <c r="AI167" i="1"/>
  <c r="BE167" i="1"/>
  <c r="Y168" i="1"/>
  <c r="AI168" i="1"/>
  <c r="BE168" i="1"/>
  <c r="Y169" i="1"/>
  <c r="AI169" i="1"/>
  <c r="BE169" i="1"/>
  <c r="Y170" i="1"/>
  <c r="AI170" i="1"/>
  <c r="BE170" i="1"/>
  <c r="Y171" i="1"/>
  <c r="AI171" i="1"/>
  <c r="BE171" i="1"/>
  <c r="Y172" i="1"/>
  <c r="AI172" i="1"/>
  <c r="BE172" i="1"/>
  <c r="Y173" i="1"/>
  <c r="AI173" i="1"/>
  <c r="BE173" i="1"/>
  <c r="Y174" i="1"/>
  <c r="AI174" i="1"/>
  <c r="BE174" i="1"/>
  <c r="Y175" i="1"/>
  <c r="AI175" i="1"/>
  <c r="BE175" i="1"/>
  <c r="Y176" i="1"/>
  <c r="AI176" i="1"/>
  <c r="BE176" i="1"/>
  <c r="Y177" i="1"/>
  <c r="AI177" i="1"/>
  <c r="BE177" i="1"/>
  <c r="Y178" i="1"/>
  <c r="AI178" i="1"/>
  <c r="BE178" i="1"/>
  <c r="Y179" i="1"/>
  <c r="AI179" i="1"/>
  <c r="BE179" i="1"/>
  <c r="Y180" i="1"/>
  <c r="AI180" i="1"/>
  <c r="BE180" i="1"/>
  <c r="Y181" i="1"/>
  <c r="AI181" i="1"/>
  <c r="BE181" i="1"/>
  <c r="Y182" i="1"/>
  <c r="AI182" i="1"/>
  <c r="BE182" i="1"/>
  <c r="Y183" i="1"/>
  <c r="AI183" i="1"/>
  <c r="BE183" i="1"/>
  <c r="Y184" i="1"/>
  <c r="AI184" i="1"/>
  <c r="BE184" i="1"/>
  <c r="Y185" i="1"/>
  <c r="AI185" i="1"/>
  <c r="BE185" i="1"/>
  <c r="Y186" i="1"/>
  <c r="AI186" i="1"/>
  <c r="BE186" i="1"/>
  <c r="Y187" i="1"/>
  <c r="AI187" i="1"/>
  <c r="BE187" i="1"/>
  <c r="Y188" i="1"/>
  <c r="AI188" i="1"/>
  <c r="BE188" i="1"/>
  <c r="Y189" i="1"/>
  <c r="AI189" i="1"/>
  <c r="BE189" i="1"/>
  <c r="Y190" i="1"/>
  <c r="AI190" i="1"/>
  <c r="BE190" i="1"/>
  <c r="Y191" i="1"/>
  <c r="AI191" i="1"/>
  <c r="BE191" i="1"/>
  <c r="Y192" i="1"/>
  <c r="AI192" i="1"/>
  <c r="BE192" i="1"/>
  <c r="Y193" i="1"/>
  <c r="AI193" i="1"/>
  <c r="BE193" i="1"/>
  <c r="Y194" i="1"/>
  <c r="AI194" i="1"/>
  <c r="BE194" i="1"/>
  <c r="Y195" i="1"/>
  <c r="AI195" i="1"/>
  <c r="BE195" i="1"/>
  <c r="Y196" i="1"/>
  <c r="AI196" i="1"/>
  <c r="BE196" i="1"/>
  <c r="Y197" i="1"/>
  <c r="AI197" i="1"/>
  <c r="BE197" i="1"/>
  <c r="Y198" i="1"/>
  <c r="AI198" i="1"/>
  <c r="BE198" i="1"/>
  <c r="Y199" i="1"/>
  <c r="AI199" i="1"/>
  <c r="BE199" i="1"/>
  <c r="Y200" i="1"/>
  <c r="AI200" i="1"/>
  <c r="BE200" i="1"/>
  <c r="Y201" i="1"/>
  <c r="AI201" i="1"/>
  <c r="BE201" i="1"/>
  <c r="Y202" i="1"/>
  <c r="AI202" i="1"/>
  <c r="BE202" i="1"/>
  <c r="Y203" i="1"/>
  <c r="AI203" i="1"/>
  <c r="BE203" i="1"/>
  <c r="Y204" i="1"/>
  <c r="AI204" i="1"/>
  <c r="BE204" i="1"/>
  <c r="Y205" i="1"/>
  <c r="AI205" i="1"/>
  <c r="BE205" i="1"/>
  <c r="Y206" i="1"/>
  <c r="AI206" i="1"/>
  <c r="BE206" i="1"/>
  <c r="AI22" i="1"/>
  <c r="BE22" i="1"/>
  <c r="AI23" i="1"/>
  <c r="BE23" i="1"/>
  <c r="AI24" i="1"/>
  <c r="BE24" i="1"/>
  <c r="AI25" i="1"/>
  <c r="BE25" i="1"/>
  <c r="AI27" i="1"/>
  <c r="BE27" i="1"/>
  <c r="AI28" i="1"/>
  <c r="BE28" i="1"/>
  <c r="AI29" i="1"/>
  <c r="BE29" i="1"/>
  <c r="AI30" i="1"/>
  <c r="BE30" i="1"/>
  <c r="AI31" i="1"/>
  <c r="BE31" i="1"/>
  <c r="AI32" i="1"/>
  <c r="BE32" i="1"/>
  <c r="AI33" i="1"/>
  <c r="BE33" i="1"/>
  <c r="AI34" i="1"/>
  <c r="BE34" i="1"/>
  <c r="AI35" i="1"/>
  <c r="BE35" i="1"/>
  <c r="AI36" i="1"/>
  <c r="BE36" i="1"/>
  <c r="AI37" i="1"/>
  <c r="BE37" i="1"/>
  <c r="AI38" i="1"/>
  <c r="BE38" i="1"/>
  <c r="AI39" i="1"/>
  <c r="BE39" i="1"/>
  <c r="AI40" i="1"/>
  <c r="BE40" i="1"/>
  <c r="AI41" i="1"/>
  <c r="BE41" i="1"/>
  <c r="AI42" i="1"/>
  <c r="BE42" i="1"/>
  <c r="AI43" i="1"/>
  <c r="BE43" i="1"/>
  <c r="AI44" i="1"/>
  <c r="BE44" i="1"/>
  <c r="AI45" i="1"/>
  <c r="BE45" i="1"/>
  <c r="AI46" i="1"/>
  <c r="BE46" i="1"/>
  <c r="AI47" i="1"/>
  <c r="BE47" i="1"/>
  <c r="AI48" i="1"/>
  <c r="BE48" i="1"/>
  <c r="AI49" i="1"/>
  <c r="BE49" i="1"/>
  <c r="AI50" i="1"/>
  <c r="BE50" i="1"/>
  <c r="AI51" i="1"/>
  <c r="BE51" i="1"/>
  <c r="AI52" i="1"/>
  <c r="BE52" i="1"/>
  <c r="AI53" i="1"/>
  <c r="BE53" i="1"/>
  <c r="AI54" i="1"/>
  <c r="BE54" i="1"/>
  <c r="AI55" i="1"/>
  <c r="BE55" i="1"/>
  <c r="AI56" i="1"/>
  <c r="BE56" i="1"/>
  <c r="AI57" i="1"/>
  <c r="BE57" i="1"/>
  <c r="AI58" i="1"/>
  <c r="BE58" i="1"/>
  <c r="AI59" i="1"/>
  <c r="BE59" i="1"/>
  <c r="AI60" i="1"/>
  <c r="BE60" i="1"/>
  <c r="AI61" i="1"/>
  <c r="BE61" i="1"/>
  <c r="AI62" i="1"/>
  <c r="BE62" i="1"/>
  <c r="AI63" i="1"/>
  <c r="BE63" i="1"/>
  <c r="AI64" i="1"/>
  <c r="BE64" i="1"/>
  <c r="AI65" i="1"/>
  <c r="BE65" i="1"/>
  <c r="AI66" i="1"/>
  <c r="BE66" i="1"/>
  <c r="AI67" i="1"/>
  <c r="BE67" i="1"/>
  <c r="AI68" i="1"/>
  <c r="BE68" i="1"/>
  <c r="AI69" i="1"/>
  <c r="BE69" i="1"/>
  <c r="AI70" i="1"/>
  <c r="BE70" i="1"/>
  <c r="AI71" i="1"/>
  <c r="BE71" i="1"/>
  <c r="AI72" i="1"/>
  <c r="BE72" i="1"/>
  <c r="AI73" i="1"/>
  <c r="BE73" i="1"/>
  <c r="AI74" i="1"/>
  <c r="BE74" i="1"/>
  <c r="AI75" i="1"/>
  <c r="BE75" i="1"/>
  <c r="AI76" i="1"/>
  <c r="BE76" i="1"/>
  <c r="AI77" i="1"/>
  <c r="BE77" i="1"/>
  <c r="AI78" i="1"/>
  <c r="BE78" i="1"/>
  <c r="AI79" i="1"/>
  <c r="BE79" i="1"/>
  <c r="AI80" i="1"/>
  <c r="BE80" i="1"/>
  <c r="AI81" i="1"/>
  <c r="BE81" i="1"/>
  <c r="AI82" i="1"/>
  <c r="BE82" i="1"/>
  <c r="AI83" i="1"/>
  <c r="BE83" i="1"/>
  <c r="AI84" i="1"/>
  <c r="BE84" i="1"/>
  <c r="AI85" i="1"/>
  <c r="BE85" i="1"/>
  <c r="AI86" i="1"/>
  <c r="BE86" i="1"/>
  <c r="BE87" i="1"/>
  <c r="BF7" i="1"/>
  <c r="P22" i="1"/>
  <c r="Q22" i="1"/>
  <c r="P20" i="1"/>
  <c r="Q20" i="1"/>
  <c r="S20" i="1"/>
  <c r="S22" i="1"/>
  <c r="T22" i="1"/>
  <c r="T20" i="1"/>
  <c r="AG22" i="1"/>
  <c r="AF22" i="1"/>
  <c r="AR7" i="1"/>
  <c r="P23" i="1"/>
  <c r="R23" i="1"/>
  <c r="Q23" i="1"/>
  <c r="S23" i="1"/>
  <c r="T23" i="1"/>
  <c r="AG23" i="1"/>
  <c r="AF23" i="1"/>
  <c r="O24" i="1"/>
  <c r="P24" i="1"/>
  <c r="R24" i="1"/>
  <c r="Q24" i="1"/>
  <c r="S24" i="1"/>
  <c r="T24" i="1"/>
  <c r="AG24" i="1"/>
  <c r="AF24" i="1"/>
  <c r="P25" i="1"/>
  <c r="Q25" i="1"/>
  <c r="S25" i="1"/>
  <c r="T25" i="1"/>
  <c r="AG25" i="1"/>
  <c r="AF25" i="1"/>
  <c r="P27" i="1"/>
  <c r="R27" i="1"/>
  <c r="Q27" i="1"/>
  <c r="S27" i="1"/>
  <c r="T27" i="1"/>
  <c r="AG27" i="1"/>
  <c r="AF27" i="1"/>
  <c r="P28" i="1"/>
  <c r="R28" i="1"/>
  <c r="Q28" i="1"/>
  <c r="S28" i="1"/>
  <c r="T28" i="1"/>
  <c r="AG28" i="1"/>
  <c r="AF28" i="1"/>
  <c r="O29" i="1"/>
  <c r="P29" i="1"/>
  <c r="R29" i="1"/>
  <c r="Q29" i="1"/>
  <c r="S29" i="1"/>
  <c r="T29" i="1"/>
  <c r="AG29" i="1"/>
  <c r="AF29" i="1"/>
  <c r="P30" i="1"/>
  <c r="Q30" i="1"/>
  <c r="S30" i="1"/>
  <c r="T30" i="1"/>
  <c r="AG30" i="1"/>
  <c r="AF30" i="1"/>
  <c r="P31" i="1"/>
  <c r="Q31" i="1"/>
  <c r="S31" i="1"/>
  <c r="T31" i="1"/>
  <c r="AG31" i="1"/>
  <c r="AF31" i="1"/>
  <c r="P32" i="1"/>
  <c r="R32" i="1"/>
  <c r="Q32" i="1"/>
  <c r="S32" i="1"/>
  <c r="T32" i="1"/>
  <c r="AG32" i="1"/>
  <c r="AF32" i="1"/>
  <c r="O33" i="1"/>
  <c r="P33" i="1"/>
  <c r="R33" i="1"/>
  <c r="Q33" i="1"/>
  <c r="S33" i="1"/>
  <c r="T33" i="1"/>
  <c r="AG33" i="1"/>
  <c r="AF33" i="1"/>
  <c r="P34" i="1"/>
  <c r="Q34" i="1"/>
  <c r="S34" i="1"/>
  <c r="T34" i="1"/>
  <c r="AG34" i="1"/>
  <c r="AF34" i="1"/>
  <c r="P35" i="1"/>
  <c r="Q35" i="1"/>
  <c r="S35" i="1"/>
  <c r="T35" i="1"/>
  <c r="AG35" i="1"/>
  <c r="AF35" i="1"/>
  <c r="P36" i="1"/>
  <c r="R36" i="1"/>
  <c r="Q36" i="1"/>
  <c r="S36" i="1"/>
  <c r="T36" i="1"/>
  <c r="AG36" i="1"/>
  <c r="AF36" i="1"/>
  <c r="O37" i="1"/>
  <c r="P37" i="1"/>
  <c r="R37" i="1"/>
  <c r="Q37" i="1"/>
  <c r="S37" i="1"/>
  <c r="T37" i="1"/>
  <c r="AG37" i="1"/>
  <c r="AF37" i="1"/>
  <c r="P38" i="1"/>
  <c r="Q38" i="1"/>
  <c r="S38" i="1"/>
  <c r="T38" i="1"/>
  <c r="AG38" i="1"/>
  <c r="AF38" i="1"/>
  <c r="P39" i="1"/>
  <c r="Q39" i="1"/>
  <c r="S39" i="1"/>
  <c r="T39" i="1"/>
  <c r="AG39" i="1"/>
  <c r="AF39" i="1"/>
  <c r="P40" i="1"/>
  <c r="R40" i="1"/>
  <c r="Q40" i="1"/>
  <c r="S40" i="1"/>
  <c r="T40" i="1"/>
  <c r="AG40" i="1"/>
  <c r="AF40" i="1"/>
  <c r="O41" i="1"/>
  <c r="P41" i="1"/>
  <c r="R41" i="1"/>
  <c r="Q41" i="1"/>
  <c r="S41" i="1"/>
  <c r="T41" i="1"/>
  <c r="AG41" i="1"/>
  <c r="AF41" i="1"/>
  <c r="P42" i="1"/>
  <c r="Q42" i="1"/>
  <c r="S42" i="1"/>
  <c r="T42" i="1"/>
  <c r="AG42" i="1"/>
  <c r="AF42" i="1"/>
  <c r="P43" i="1"/>
  <c r="Q43" i="1"/>
  <c r="S43" i="1"/>
  <c r="T43" i="1"/>
  <c r="AG43" i="1"/>
  <c r="AF43" i="1"/>
  <c r="P44" i="1"/>
  <c r="R44" i="1"/>
  <c r="Q44" i="1"/>
  <c r="S44" i="1"/>
  <c r="T44" i="1"/>
  <c r="AG44" i="1"/>
  <c r="AF44" i="1"/>
  <c r="O45" i="1"/>
  <c r="P45" i="1"/>
  <c r="R45" i="1"/>
  <c r="Q45" i="1"/>
  <c r="S45" i="1"/>
  <c r="T45" i="1"/>
  <c r="AG45" i="1"/>
  <c r="AF45" i="1"/>
  <c r="P46" i="1"/>
  <c r="Q46" i="1"/>
  <c r="S46" i="1"/>
  <c r="T46" i="1"/>
  <c r="AG46" i="1"/>
  <c r="AF46" i="1"/>
  <c r="P47" i="1"/>
  <c r="Q47" i="1"/>
  <c r="S47" i="1"/>
  <c r="T47" i="1"/>
  <c r="AG47" i="1"/>
  <c r="AF47" i="1"/>
  <c r="P48" i="1"/>
  <c r="R48" i="1"/>
  <c r="Q48" i="1"/>
  <c r="S48" i="1"/>
  <c r="T48" i="1"/>
  <c r="AG48" i="1"/>
  <c r="AF48" i="1"/>
  <c r="O49" i="1"/>
  <c r="P49" i="1"/>
  <c r="R49" i="1"/>
  <c r="Q49" i="1"/>
  <c r="S49" i="1"/>
  <c r="T49" i="1"/>
  <c r="AG49" i="1"/>
  <c r="AF49" i="1"/>
  <c r="P50" i="1"/>
  <c r="Q50" i="1"/>
  <c r="S50" i="1"/>
  <c r="T50" i="1"/>
  <c r="AG50" i="1"/>
  <c r="AF50" i="1"/>
  <c r="P51" i="1"/>
  <c r="Q51" i="1"/>
  <c r="S51" i="1"/>
  <c r="T51" i="1"/>
  <c r="AG51" i="1"/>
  <c r="AF51" i="1"/>
  <c r="P52" i="1"/>
  <c r="R52" i="1"/>
  <c r="Q52" i="1"/>
  <c r="S52" i="1"/>
  <c r="T52" i="1"/>
  <c r="AG52" i="1"/>
  <c r="AF52" i="1"/>
  <c r="O53" i="1"/>
  <c r="P53" i="1"/>
  <c r="R53" i="1"/>
  <c r="Q53" i="1"/>
  <c r="S53" i="1"/>
  <c r="T53" i="1"/>
  <c r="AG53" i="1"/>
  <c r="AF53" i="1"/>
  <c r="P54" i="1"/>
  <c r="Q54" i="1"/>
  <c r="S54" i="1"/>
  <c r="T54" i="1"/>
  <c r="AG54" i="1"/>
  <c r="AF54" i="1"/>
  <c r="P55" i="1"/>
  <c r="Q55" i="1"/>
  <c r="S55" i="1"/>
  <c r="T55" i="1"/>
  <c r="AG55" i="1"/>
  <c r="AF55" i="1"/>
  <c r="P56" i="1"/>
  <c r="R56" i="1"/>
  <c r="Q56" i="1"/>
  <c r="S56" i="1"/>
  <c r="T56" i="1"/>
  <c r="AG56" i="1"/>
  <c r="AF56" i="1"/>
  <c r="O57" i="1"/>
  <c r="P57" i="1"/>
  <c r="R57" i="1"/>
  <c r="Q57" i="1"/>
  <c r="S57" i="1"/>
  <c r="T57" i="1"/>
  <c r="AG57" i="1"/>
  <c r="AF57" i="1"/>
  <c r="P58" i="1"/>
  <c r="Q58" i="1"/>
  <c r="S58" i="1"/>
  <c r="T58" i="1"/>
  <c r="AG58" i="1"/>
  <c r="AF58" i="1"/>
  <c r="P59" i="1"/>
  <c r="Q59" i="1"/>
  <c r="S59" i="1"/>
  <c r="T59" i="1"/>
  <c r="AG59" i="1"/>
  <c r="AF59" i="1"/>
  <c r="P60" i="1"/>
  <c r="R60" i="1"/>
  <c r="Q60" i="1"/>
  <c r="S60" i="1"/>
  <c r="T60" i="1"/>
  <c r="AG60" i="1"/>
  <c r="AF60" i="1"/>
  <c r="O61" i="1"/>
  <c r="P61" i="1"/>
  <c r="R61" i="1"/>
  <c r="Q61" i="1"/>
  <c r="S61" i="1"/>
  <c r="T61" i="1"/>
  <c r="AG61" i="1"/>
  <c r="AF61" i="1"/>
  <c r="P62" i="1"/>
  <c r="Q62" i="1"/>
  <c r="S62" i="1"/>
  <c r="T62" i="1"/>
  <c r="AG62" i="1"/>
  <c r="AF62" i="1"/>
  <c r="P63" i="1"/>
  <c r="Q63" i="1"/>
  <c r="S63" i="1"/>
  <c r="T63" i="1"/>
  <c r="AG63" i="1"/>
  <c r="AF63" i="1"/>
  <c r="P64" i="1"/>
  <c r="R64" i="1"/>
  <c r="Q64" i="1"/>
  <c r="S64" i="1"/>
  <c r="T64" i="1"/>
  <c r="AG64" i="1"/>
  <c r="AF64" i="1"/>
  <c r="O65" i="1"/>
  <c r="P65" i="1"/>
  <c r="R65" i="1"/>
  <c r="Q65" i="1"/>
  <c r="S65" i="1"/>
  <c r="T65" i="1"/>
  <c r="AG65" i="1"/>
  <c r="AF65" i="1"/>
  <c r="P66" i="1"/>
  <c r="Q66" i="1"/>
  <c r="S66" i="1"/>
  <c r="T66" i="1"/>
  <c r="AG66" i="1"/>
  <c r="AF66" i="1"/>
  <c r="P67" i="1"/>
  <c r="Q67" i="1"/>
  <c r="S67" i="1"/>
  <c r="T67" i="1"/>
  <c r="AG67" i="1"/>
  <c r="AF67" i="1"/>
  <c r="P68" i="1"/>
  <c r="R68" i="1"/>
  <c r="Q68" i="1"/>
  <c r="S68" i="1"/>
  <c r="T68" i="1"/>
  <c r="AG68" i="1"/>
  <c r="AF68" i="1"/>
  <c r="O69" i="1"/>
  <c r="P69" i="1"/>
  <c r="R69" i="1"/>
  <c r="Q69" i="1"/>
  <c r="S69" i="1"/>
  <c r="T69" i="1"/>
  <c r="AG69" i="1"/>
  <c r="AF69" i="1"/>
  <c r="P70" i="1"/>
  <c r="Q70" i="1"/>
  <c r="S70" i="1"/>
  <c r="T70" i="1"/>
  <c r="AG70" i="1"/>
  <c r="AF70" i="1"/>
  <c r="P71" i="1"/>
  <c r="Q71" i="1"/>
  <c r="S71" i="1"/>
  <c r="T71" i="1"/>
  <c r="AG71" i="1"/>
  <c r="AF71" i="1"/>
  <c r="P72" i="1"/>
  <c r="R72" i="1"/>
  <c r="Q72" i="1"/>
  <c r="S72" i="1"/>
  <c r="T72" i="1"/>
  <c r="AG72" i="1"/>
  <c r="AF72" i="1"/>
  <c r="O73" i="1"/>
  <c r="P73" i="1"/>
  <c r="R73" i="1"/>
  <c r="Q73" i="1"/>
  <c r="S73" i="1"/>
  <c r="T73" i="1"/>
  <c r="AG73" i="1"/>
  <c r="AF73" i="1"/>
  <c r="P74" i="1"/>
  <c r="Q74" i="1"/>
  <c r="S74" i="1"/>
  <c r="T74" i="1"/>
  <c r="AG74" i="1"/>
  <c r="AF74" i="1"/>
  <c r="P75" i="1"/>
  <c r="Q75" i="1"/>
  <c r="S75" i="1"/>
  <c r="T75" i="1"/>
  <c r="AG75" i="1"/>
  <c r="AF75" i="1"/>
  <c r="P76" i="1"/>
  <c r="R76" i="1"/>
  <c r="Q76" i="1"/>
  <c r="S76" i="1"/>
  <c r="T76" i="1"/>
  <c r="AG76" i="1"/>
  <c r="AF76" i="1"/>
  <c r="O77" i="1"/>
  <c r="P77" i="1"/>
  <c r="R77" i="1"/>
  <c r="Q77" i="1"/>
  <c r="S77" i="1"/>
  <c r="T77" i="1"/>
  <c r="AG77" i="1"/>
  <c r="AF77" i="1"/>
  <c r="P78" i="1"/>
  <c r="Q78" i="1"/>
  <c r="S78" i="1"/>
  <c r="T78" i="1"/>
  <c r="AG78" i="1"/>
  <c r="AF78" i="1"/>
  <c r="P79" i="1"/>
  <c r="Q79" i="1"/>
  <c r="S79" i="1"/>
  <c r="T79" i="1"/>
  <c r="AG79" i="1"/>
  <c r="AF79" i="1"/>
  <c r="P80" i="1"/>
  <c r="R80" i="1"/>
  <c r="Q80" i="1"/>
  <c r="S80" i="1"/>
  <c r="T80" i="1"/>
  <c r="AG80" i="1"/>
  <c r="AF80" i="1"/>
  <c r="O81" i="1"/>
  <c r="P81" i="1"/>
  <c r="R81" i="1"/>
  <c r="Q81" i="1"/>
  <c r="S81" i="1"/>
  <c r="T81" i="1"/>
  <c r="AG81" i="1"/>
  <c r="AF81" i="1"/>
  <c r="P82" i="1"/>
  <c r="Q82" i="1"/>
  <c r="S82" i="1"/>
  <c r="T82" i="1"/>
  <c r="AG82" i="1"/>
  <c r="AF82" i="1"/>
  <c r="P83" i="1"/>
  <c r="Q83" i="1"/>
  <c r="S83" i="1"/>
  <c r="T83" i="1"/>
  <c r="AG83" i="1"/>
  <c r="AF83" i="1"/>
  <c r="P84" i="1"/>
  <c r="R84" i="1"/>
  <c r="Q84" i="1"/>
  <c r="S84" i="1"/>
  <c r="T84" i="1"/>
  <c r="AG84" i="1"/>
  <c r="AF84" i="1"/>
  <c r="O85" i="1"/>
  <c r="P85" i="1"/>
  <c r="R85" i="1"/>
  <c r="Q85" i="1"/>
  <c r="S85" i="1"/>
  <c r="T85" i="1"/>
  <c r="AG85" i="1"/>
  <c r="AF85" i="1"/>
  <c r="P86" i="1"/>
  <c r="Q86" i="1"/>
  <c r="S86" i="1"/>
  <c r="T86" i="1"/>
  <c r="AG86" i="1"/>
  <c r="AF86" i="1"/>
  <c r="O87" i="1"/>
  <c r="P87" i="1"/>
  <c r="Q87" i="1"/>
  <c r="S87" i="1"/>
  <c r="T87" i="1"/>
  <c r="AG87" i="1"/>
  <c r="AF87" i="1"/>
  <c r="P88" i="1"/>
  <c r="R88" i="1"/>
  <c r="Q88" i="1"/>
  <c r="S88" i="1"/>
  <c r="T88" i="1"/>
  <c r="AG88" i="1"/>
  <c r="AF88" i="1"/>
  <c r="O89" i="1"/>
  <c r="P89" i="1"/>
  <c r="R89" i="1"/>
  <c r="Q89" i="1"/>
  <c r="S89" i="1"/>
  <c r="T89" i="1"/>
  <c r="AG89" i="1"/>
  <c r="AF89" i="1"/>
  <c r="P90" i="1"/>
  <c r="Q90" i="1"/>
  <c r="S90" i="1"/>
  <c r="T90" i="1"/>
  <c r="AG90" i="1"/>
  <c r="AF90" i="1"/>
  <c r="P91" i="1"/>
  <c r="Q91" i="1"/>
  <c r="S91" i="1"/>
  <c r="T91" i="1"/>
  <c r="AG91" i="1"/>
  <c r="AF91" i="1"/>
  <c r="O92" i="1"/>
  <c r="P92" i="1"/>
  <c r="R92" i="1"/>
  <c r="Q92" i="1"/>
  <c r="S92" i="1"/>
  <c r="T92" i="1"/>
  <c r="AG92" i="1"/>
  <c r="AF92" i="1"/>
  <c r="O93" i="1"/>
  <c r="P93" i="1"/>
  <c r="R93" i="1"/>
  <c r="Q93" i="1"/>
  <c r="S93" i="1"/>
  <c r="T93" i="1"/>
  <c r="AG93" i="1"/>
  <c r="AF93" i="1"/>
  <c r="P94" i="1"/>
  <c r="Q94" i="1"/>
  <c r="S94" i="1"/>
  <c r="T94" i="1"/>
  <c r="AG94" i="1"/>
  <c r="AF94" i="1"/>
  <c r="O95" i="1"/>
  <c r="P95" i="1"/>
  <c r="R95" i="1"/>
  <c r="Q95" i="1"/>
  <c r="S95" i="1"/>
  <c r="T95" i="1"/>
  <c r="AG95" i="1"/>
  <c r="AF95" i="1"/>
  <c r="O96" i="1"/>
  <c r="P96" i="1"/>
  <c r="R96" i="1"/>
  <c r="Q96" i="1"/>
  <c r="S96" i="1"/>
  <c r="T96" i="1"/>
  <c r="AG96" i="1"/>
  <c r="AF96" i="1"/>
  <c r="O97" i="1"/>
  <c r="P97" i="1"/>
  <c r="R97" i="1"/>
  <c r="Q97" i="1"/>
  <c r="S97" i="1"/>
  <c r="T97" i="1"/>
  <c r="AG97" i="1"/>
  <c r="AF97" i="1"/>
  <c r="P98" i="1"/>
  <c r="Q98" i="1"/>
  <c r="S98" i="1"/>
  <c r="T98" i="1"/>
  <c r="AG98" i="1"/>
  <c r="AF98" i="1"/>
  <c r="O99" i="1"/>
  <c r="P99" i="1"/>
  <c r="R99" i="1"/>
  <c r="Q99" i="1"/>
  <c r="S99" i="1"/>
  <c r="T99" i="1"/>
  <c r="AG99" i="1"/>
  <c r="AF99" i="1"/>
  <c r="O100" i="1"/>
  <c r="P100" i="1"/>
  <c r="R100" i="1"/>
  <c r="Q100" i="1"/>
  <c r="S100" i="1"/>
  <c r="T100" i="1"/>
  <c r="AG100" i="1"/>
  <c r="AF100" i="1"/>
  <c r="O101" i="1"/>
  <c r="P101" i="1"/>
  <c r="R101" i="1"/>
  <c r="Q101" i="1"/>
  <c r="S101" i="1"/>
  <c r="T101" i="1"/>
  <c r="AG101" i="1"/>
  <c r="AF101" i="1"/>
  <c r="P102" i="1"/>
  <c r="Q102" i="1"/>
  <c r="S102" i="1"/>
  <c r="T102" i="1"/>
  <c r="AG102" i="1"/>
  <c r="AF102" i="1"/>
  <c r="O103" i="1"/>
  <c r="P103" i="1"/>
  <c r="R103" i="1"/>
  <c r="Q103" i="1"/>
  <c r="S103" i="1"/>
  <c r="T103" i="1"/>
  <c r="AG103" i="1"/>
  <c r="AF103" i="1"/>
  <c r="O104" i="1"/>
  <c r="P104" i="1"/>
  <c r="R104" i="1"/>
  <c r="Q104" i="1"/>
  <c r="S104" i="1"/>
  <c r="T104" i="1"/>
  <c r="AG104" i="1"/>
  <c r="AF104" i="1"/>
  <c r="O105" i="1"/>
  <c r="P105" i="1"/>
  <c r="R105" i="1"/>
  <c r="Q105" i="1"/>
  <c r="S105" i="1"/>
  <c r="T105" i="1"/>
  <c r="AG105" i="1"/>
  <c r="AF105" i="1"/>
  <c r="P106" i="1"/>
  <c r="Q106" i="1"/>
  <c r="S106" i="1"/>
  <c r="T106" i="1"/>
  <c r="AG106" i="1"/>
  <c r="AF106" i="1"/>
  <c r="P107" i="1"/>
  <c r="R107" i="1"/>
  <c r="Q107" i="1"/>
  <c r="S107" i="1"/>
  <c r="T107" i="1"/>
  <c r="AG107" i="1"/>
  <c r="AF107" i="1"/>
  <c r="O108" i="1"/>
  <c r="P108" i="1"/>
  <c r="R108" i="1"/>
  <c r="Q108" i="1"/>
  <c r="S108" i="1"/>
  <c r="T108" i="1"/>
  <c r="AG108" i="1"/>
  <c r="AF108" i="1"/>
  <c r="O109" i="1"/>
  <c r="P109" i="1"/>
  <c r="R109" i="1"/>
  <c r="Q109" i="1"/>
  <c r="S109" i="1"/>
  <c r="T109" i="1"/>
  <c r="AG109" i="1"/>
  <c r="AF109" i="1"/>
  <c r="P110" i="1"/>
  <c r="Q110" i="1"/>
  <c r="S110" i="1"/>
  <c r="T110" i="1"/>
  <c r="AG110" i="1"/>
  <c r="AF110" i="1"/>
  <c r="O111" i="1"/>
  <c r="P111" i="1"/>
  <c r="R111" i="1"/>
  <c r="Q111" i="1"/>
  <c r="S111" i="1"/>
  <c r="T111" i="1"/>
  <c r="AG111" i="1"/>
  <c r="AF111" i="1"/>
  <c r="O112" i="1"/>
  <c r="P112" i="1"/>
  <c r="R112" i="1"/>
  <c r="Q112" i="1"/>
  <c r="S112" i="1"/>
  <c r="T112" i="1"/>
  <c r="AG112" i="1"/>
  <c r="AF112" i="1"/>
  <c r="O113" i="1"/>
  <c r="P113" i="1"/>
  <c r="R113" i="1"/>
  <c r="Q113" i="1"/>
  <c r="S113" i="1"/>
  <c r="T113" i="1"/>
  <c r="AG113" i="1"/>
  <c r="AF113" i="1"/>
  <c r="P114" i="1"/>
  <c r="Q114" i="1"/>
  <c r="S114" i="1"/>
  <c r="T114" i="1"/>
  <c r="AG114" i="1"/>
  <c r="AF114" i="1"/>
  <c r="O115" i="1"/>
  <c r="P115" i="1"/>
  <c r="R115" i="1"/>
  <c r="Q115" i="1"/>
  <c r="S115" i="1"/>
  <c r="T115" i="1"/>
  <c r="AG115" i="1"/>
  <c r="AF115" i="1"/>
  <c r="O116" i="1"/>
  <c r="P116" i="1"/>
  <c r="R116" i="1"/>
  <c r="Q116" i="1"/>
  <c r="S116" i="1"/>
  <c r="T116" i="1"/>
  <c r="AG116" i="1"/>
  <c r="AF116" i="1"/>
  <c r="O117" i="1"/>
  <c r="P117" i="1"/>
  <c r="R117" i="1"/>
  <c r="Q117" i="1"/>
  <c r="S117" i="1"/>
  <c r="T117" i="1"/>
  <c r="AG117" i="1"/>
  <c r="AF117" i="1"/>
  <c r="P118" i="1"/>
  <c r="Q118" i="1"/>
  <c r="S118" i="1"/>
  <c r="T118" i="1"/>
  <c r="AG118" i="1"/>
  <c r="AF118" i="1"/>
  <c r="O119" i="1"/>
  <c r="P119" i="1"/>
  <c r="R119" i="1"/>
  <c r="Q119" i="1"/>
  <c r="S119" i="1"/>
  <c r="T119" i="1"/>
  <c r="AG119" i="1"/>
  <c r="AF119" i="1"/>
  <c r="O120" i="1"/>
  <c r="P120" i="1"/>
  <c r="R120" i="1"/>
  <c r="Q120" i="1"/>
  <c r="S120" i="1"/>
  <c r="T120" i="1"/>
  <c r="AG120" i="1"/>
  <c r="AF120" i="1"/>
  <c r="O121" i="1"/>
  <c r="P121" i="1"/>
  <c r="R121" i="1"/>
  <c r="Q121" i="1"/>
  <c r="S121" i="1"/>
  <c r="T121" i="1"/>
  <c r="AG121" i="1"/>
  <c r="AF121" i="1"/>
  <c r="P122" i="1"/>
  <c r="Q122" i="1"/>
  <c r="S122" i="1"/>
  <c r="T122" i="1"/>
  <c r="AG122" i="1"/>
  <c r="AF122" i="1"/>
  <c r="O123" i="1"/>
  <c r="P123" i="1"/>
  <c r="R123" i="1"/>
  <c r="Q123" i="1"/>
  <c r="S123" i="1"/>
  <c r="T123" i="1"/>
  <c r="AG123" i="1"/>
  <c r="AF123" i="1"/>
  <c r="O124" i="1"/>
  <c r="P124" i="1"/>
  <c r="R124" i="1"/>
  <c r="Q124" i="1"/>
  <c r="S124" i="1"/>
  <c r="T124" i="1"/>
  <c r="AG124" i="1"/>
  <c r="AF124" i="1"/>
  <c r="O125" i="1"/>
  <c r="P125" i="1"/>
  <c r="R125" i="1"/>
  <c r="Q125" i="1"/>
  <c r="S125" i="1"/>
  <c r="T125" i="1"/>
  <c r="AG125" i="1"/>
  <c r="AF125" i="1"/>
  <c r="P126" i="1"/>
  <c r="Q126" i="1"/>
  <c r="S126" i="1"/>
  <c r="T126" i="1"/>
  <c r="AG126" i="1"/>
  <c r="AF126" i="1"/>
  <c r="O127" i="1"/>
  <c r="P127" i="1"/>
  <c r="R127" i="1"/>
  <c r="Q127" i="1"/>
  <c r="S127" i="1"/>
  <c r="T127" i="1"/>
  <c r="AG127" i="1"/>
  <c r="AF127" i="1"/>
  <c r="O128" i="1"/>
  <c r="P128" i="1"/>
  <c r="R128" i="1"/>
  <c r="Q128" i="1"/>
  <c r="S128" i="1"/>
  <c r="T128" i="1"/>
  <c r="AG128" i="1"/>
  <c r="AF128" i="1"/>
  <c r="O129" i="1"/>
  <c r="P129" i="1"/>
  <c r="R129" i="1"/>
  <c r="Q129" i="1"/>
  <c r="S129" i="1"/>
  <c r="T129" i="1"/>
  <c r="AG129" i="1"/>
  <c r="AF129" i="1"/>
  <c r="P130" i="1"/>
  <c r="Q130" i="1"/>
  <c r="S130" i="1"/>
  <c r="T130" i="1"/>
  <c r="AG130" i="1"/>
  <c r="AF130" i="1"/>
  <c r="P131" i="1"/>
  <c r="R131" i="1"/>
  <c r="Q131" i="1"/>
  <c r="S131" i="1"/>
  <c r="T131" i="1"/>
  <c r="AG131" i="1"/>
  <c r="AF131" i="1"/>
  <c r="O132" i="1"/>
  <c r="P132" i="1"/>
  <c r="R132" i="1"/>
  <c r="Q132" i="1"/>
  <c r="S132" i="1"/>
  <c r="T132" i="1"/>
  <c r="AG132" i="1"/>
  <c r="AF132" i="1"/>
  <c r="O133" i="1"/>
  <c r="P133" i="1"/>
  <c r="R133" i="1"/>
  <c r="Q133" i="1"/>
  <c r="S133" i="1"/>
  <c r="T133" i="1"/>
  <c r="AG133" i="1"/>
  <c r="AF133" i="1"/>
  <c r="P134" i="1"/>
  <c r="Q134" i="1"/>
  <c r="S134" i="1"/>
  <c r="T134" i="1"/>
  <c r="AG134" i="1"/>
  <c r="AF134" i="1"/>
  <c r="P135" i="1"/>
  <c r="R135" i="1"/>
  <c r="Q135" i="1"/>
  <c r="S135" i="1"/>
  <c r="T135" i="1"/>
  <c r="AG135" i="1"/>
  <c r="AF135" i="1"/>
  <c r="O136" i="1"/>
  <c r="P136" i="1"/>
  <c r="R136" i="1"/>
  <c r="Q136" i="1"/>
  <c r="S136" i="1"/>
  <c r="T136" i="1"/>
  <c r="AG136" i="1"/>
  <c r="AF136" i="1"/>
  <c r="O137" i="1"/>
  <c r="P137" i="1"/>
  <c r="R137" i="1"/>
  <c r="Q137" i="1"/>
  <c r="S137" i="1"/>
  <c r="T137" i="1"/>
  <c r="AG137" i="1"/>
  <c r="AF137" i="1"/>
  <c r="P138" i="1"/>
  <c r="Q138" i="1"/>
  <c r="S138" i="1"/>
  <c r="T138" i="1"/>
  <c r="AG138" i="1"/>
  <c r="AF138" i="1"/>
  <c r="P139" i="1"/>
  <c r="R139" i="1"/>
  <c r="Q139" i="1"/>
  <c r="S139" i="1"/>
  <c r="T139" i="1"/>
  <c r="AG139" i="1"/>
  <c r="AF139" i="1"/>
  <c r="O140" i="1"/>
  <c r="P140" i="1"/>
  <c r="R140" i="1"/>
  <c r="Q140" i="1"/>
  <c r="S140" i="1"/>
  <c r="T140" i="1"/>
  <c r="AG140" i="1"/>
  <c r="AF140" i="1"/>
  <c r="O141" i="1"/>
  <c r="P141" i="1"/>
  <c r="R141" i="1"/>
  <c r="Q141" i="1"/>
  <c r="S141" i="1"/>
  <c r="T141" i="1"/>
  <c r="AG141" i="1"/>
  <c r="AF141" i="1"/>
  <c r="P142" i="1"/>
  <c r="Q142" i="1"/>
  <c r="S142" i="1"/>
  <c r="T142" i="1"/>
  <c r="AG142" i="1"/>
  <c r="AF142" i="1"/>
  <c r="P143" i="1"/>
  <c r="R143" i="1"/>
  <c r="Q143" i="1"/>
  <c r="S143" i="1"/>
  <c r="T143" i="1"/>
  <c r="AG143" i="1"/>
  <c r="AF143" i="1"/>
  <c r="O144" i="1"/>
  <c r="P144" i="1"/>
  <c r="R144" i="1"/>
  <c r="Q144" i="1"/>
  <c r="S144" i="1"/>
  <c r="T144" i="1"/>
  <c r="AG144" i="1"/>
  <c r="AF144" i="1"/>
  <c r="O145" i="1"/>
  <c r="P145" i="1"/>
  <c r="R145" i="1"/>
  <c r="Q145" i="1"/>
  <c r="S145" i="1"/>
  <c r="T145" i="1"/>
  <c r="AG145" i="1"/>
  <c r="AF145" i="1"/>
  <c r="P146" i="1"/>
  <c r="Q146" i="1"/>
  <c r="S146" i="1"/>
  <c r="T146" i="1"/>
  <c r="AG146" i="1"/>
  <c r="AF146" i="1"/>
  <c r="P147" i="1"/>
  <c r="R147" i="1"/>
  <c r="Q147" i="1"/>
  <c r="S147" i="1"/>
  <c r="T147" i="1"/>
  <c r="AG147" i="1"/>
  <c r="AF147" i="1"/>
  <c r="O148" i="1"/>
  <c r="P148" i="1"/>
  <c r="R148" i="1"/>
  <c r="Q148" i="1"/>
  <c r="S148" i="1"/>
  <c r="T148" i="1"/>
  <c r="AG148" i="1"/>
  <c r="AF148" i="1"/>
  <c r="O149" i="1"/>
  <c r="P149" i="1"/>
  <c r="R149" i="1"/>
  <c r="Q149" i="1"/>
  <c r="S149" i="1"/>
  <c r="T149" i="1"/>
  <c r="AG149" i="1"/>
  <c r="AF149" i="1"/>
  <c r="Q150" i="1"/>
  <c r="S150" i="1"/>
  <c r="T150" i="1"/>
  <c r="AG150" i="1"/>
  <c r="AF150" i="1"/>
  <c r="R151" i="1"/>
  <c r="Q151" i="1"/>
  <c r="S151" i="1"/>
  <c r="T151" i="1"/>
  <c r="AG151" i="1"/>
  <c r="AF151" i="1"/>
  <c r="R152" i="1"/>
  <c r="Q152" i="1"/>
  <c r="S152" i="1"/>
  <c r="T152" i="1"/>
  <c r="AG152" i="1"/>
  <c r="AF152" i="1"/>
  <c r="R153" i="1"/>
  <c r="Q153" i="1"/>
  <c r="S153" i="1"/>
  <c r="T153" i="1"/>
  <c r="AG153" i="1"/>
  <c r="AF153" i="1"/>
  <c r="Q154" i="1"/>
  <c r="S154" i="1"/>
  <c r="T154" i="1"/>
  <c r="AG154" i="1"/>
  <c r="AF154" i="1"/>
  <c r="R155" i="1"/>
  <c r="Q155" i="1"/>
  <c r="S155" i="1"/>
  <c r="T155" i="1"/>
  <c r="AG155" i="1"/>
  <c r="AF155" i="1"/>
  <c r="R156" i="1"/>
  <c r="Q156" i="1"/>
  <c r="S156" i="1"/>
  <c r="T156" i="1"/>
  <c r="AG156" i="1"/>
  <c r="AF156" i="1"/>
  <c r="R157" i="1"/>
  <c r="Q157" i="1"/>
  <c r="S157" i="1"/>
  <c r="T157" i="1"/>
  <c r="AG157" i="1"/>
  <c r="AF157" i="1"/>
  <c r="Q158" i="1"/>
  <c r="S158" i="1"/>
  <c r="T158" i="1"/>
  <c r="AG158" i="1"/>
  <c r="AF158" i="1"/>
  <c r="R159" i="1"/>
  <c r="Q159" i="1"/>
  <c r="S159" i="1"/>
  <c r="T159" i="1"/>
  <c r="AG159" i="1"/>
  <c r="AF159" i="1"/>
  <c r="R160" i="1"/>
  <c r="Q160" i="1"/>
  <c r="S160" i="1"/>
  <c r="T160" i="1"/>
  <c r="AG160" i="1"/>
  <c r="AF160" i="1"/>
  <c r="R161" i="1"/>
  <c r="Q161" i="1"/>
  <c r="S161" i="1"/>
  <c r="T161" i="1"/>
  <c r="AG161" i="1"/>
  <c r="AF161" i="1"/>
  <c r="Q162" i="1"/>
  <c r="S162" i="1"/>
  <c r="T162" i="1"/>
  <c r="AG162" i="1"/>
  <c r="AF162" i="1"/>
  <c r="R163" i="1"/>
  <c r="Q163" i="1"/>
  <c r="S163" i="1"/>
  <c r="T163" i="1"/>
  <c r="AG163" i="1"/>
  <c r="AF163" i="1"/>
  <c r="R164" i="1"/>
  <c r="Q164" i="1"/>
  <c r="S164" i="1"/>
  <c r="T164" i="1"/>
  <c r="AG164" i="1"/>
  <c r="AF164" i="1"/>
  <c r="R165" i="1"/>
  <c r="Q165" i="1"/>
  <c r="S165" i="1"/>
  <c r="T165" i="1"/>
  <c r="AG165" i="1"/>
  <c r="AF165" i="1"/>
  <c r="Q166" i="1"/>
  <c r="S166" i="1"/>
  <c r="T166" i="1"/>
  <c r="AG166" i="1"/>
  <c r="AF166" i="1"/>
  <c r="R167" i="1"/>
  <c r="Q167" i="1"/>
  <c r="S167" i="1"/>
  <c r="T167" i="1"/>
  <c r="AG167" i="1"/>
  <c r="AF167" i="1"/>
  <c r="R168" i="1"/>
  <c r="Q168" i="1"/>
  <c r="S168" i="1"/>
  <c r="T168" i="1"/>
  <c r="AG168" i="1"/>
  <c r="AF168" i="1"/>
  <c r="R169" i="1"/>
  <c r="Q169" i="1"/>
  <c r="S169" i="1"/>
  <c r="T169" i="1"/>
  <c r="AG169" i="1"/>
  <c r="AF169" i="1"/>
  <c r="Q170" i="1"/>
  <c r="S170" i="1"/>
  <c r="T170" i="1"/>
  <c r="AG170" i="1"/>
  <c r="AF170" i="1"/>
  <c r="R171" i="1"/>
  <c r="Q171" i="1"/>
  <c r="S171" i="1"/>
  <c r="T171" i="1"/>
  <c r="AG171" i="1"/>
  <c r="AF171" i="1"/>
  <c r="R172" i="1"/>
  <c r="Q172" i="1"/>
  <c r="S172" i="1"/>
  <c r="T172" i="1"/>
  <c r="AG172" i="1"/>
  <c r="AF172" i="1"/>
  <c r="R173" i="1"/>
  <c r="Q173" i="1"/>
  <c r="S173" i="1"/>
  <c r="T173" i="1"/>
  <c r="AG173" i="1"/>
  <c r="AF173" i="1"/>
  <c r="Q174" i="1"/>
  <c r="S174" i="1"/>
  <c r="T174" i="1"/>
  <c r="AG174" i="1"/>
  <c r="AF174" i="1"/>
  <c r="R175" i="1"/>
  <c r="Q175" i="1"/>
  <c r="S175" i="1"/>
  <c r="T175" i="1"/>
  <c r="AG175" i="1"/>
  <c r="AF175" i="1"/>
  <c r="R176" i="1"/>
  <c r="Q176" i="1"/>
  <c r="S176" i="1"/>
  <c r="T176" i="1"/>
  <c r="AG176" i="1"/>
  <c r="AF176" i="1"/>
  <c r="R177" i="1"/>
  <c r="Q177" i="1"/>
  <c r="S177" i="1"/>
  <c r="T177" i="1"/>
  <c r="AG177" i="1"/>
  <c r="AF177" i="1"/>
  <c r="Q178" i="1"/>
  <c r="S178" i="1"/>
  <c r="T178" i="1"/>
  <c r="AG178" i="1"/>
  <c r="AF178" i="1"/>
  <c r="R179" i="1"/>
  <c r="Q179" i="1"/>
  <c r="S179" i="1"/>
  <c r="T179" i="1"/>
  <c r="AG179" i="1"/>
  <c r="AF179" i="1"/>
  <c r="R180" i="1"/>
  <c r="Q180" i="1"/>
  <c r="S180" i="1"/>
  <c r="T180" i="1"/>
  <c r="AG180" i="1"/>
  <c r="AF180" i="1"/>
  <c r="R181" i="1"/>
  <c r="Q181" i="1"/>
  <c r="S181" i="1"/>
  <c r="T181" i="1"/>
  <c r="AG181" i="1"/>
  <c r="AF181" i="1"/>
  <c r="Q182" i="1"/>
  <c r="S182" i="1"/>
  <c r="T182" i="1"/>
  <c r="AG182" i="1"/>
  <c r="AF182" i="1"/>
  <c r="R183" i="1"/>
  <c r="Q183" i="1"/>
  <c r="S183" i="1"/>
  <c r="T183" i="1"/>
  <c r="AG183" i="1"/>
  <c r="AF183" i="1"/>
  <c r="R184" i="1"/>
  <c r="Q184" i="1"/>
  <c r="S184" i="1"/>
  <c r="T184" i="1"/>
  <c r="AG184" i="1"/>
  <c r="AF184" i="1"/>
  <c r="R185" i="1"/>
  <c r="Q185" i="1"/>
  <c r="S185" i="1"/>
  <c r="T185" i="1"/>
  <c r="AG185" i="1"/>
  <c r="AF185" i="1"/>
  <c r="Q186" i="1"/>
  <c r="S186" i="1"/>
  <c r="T186" i="1"/>
  <c r="AG186" i="1"/>
  <c r="AF186" i="1"/>
  <c r="R187" i="1"/>
  <c r="Q187" i="1"/>
  <c r="S187" i="1"/>
  <c r="T187" i="1"/>
  <c r="AG187" i="1"/>
  <c r="AF187" i="1"/>
  <c r="R188" i="1"/>
  <c r="Q188" i="1"/>
  <c r="S188" i="1"/>
  <c r="T188" i="1"/>
  <c r="AG188" i="1"/>
  <c r="AF188" i="1"/>
  <c r="R189" i="1"/>
  <c r="Q189" i="1"/>
  <c r="S189" i="1"/>
  <c r="T189" i="1"/>
  <c r="AG189" i="1"/>
  <c r="AF189" i="1"/>
  <c r="Q190" i="1"/>
  <c r="S190" i="1"/>
  <c r="T190" i="1"/>
  <c r="AG190" i="1"/>
  <c r="AF190" i="1"/>
  <c r="R191" i="1"/>
  <c r="Q191" i="1"/>
  <c r="S191" i="1"/>
  <c r="T191" i="1"/>
  <c r="AG191" i="1"/>
  <c r="AF191" i="1"/>
  <c r="R192" i="1"/>
  <c r="Q192" i="1"/>
  <c r="S192" i="1"/>
  <c r="T192" i="1"/>
  <c r="AG192" i="1"/>
  <c r="AF192" i="1"/>
  <c r="R193" i="1"/>
  <c r="Q193" i="1"/>
  <c r="S193" i="1"/>
  <c r="T193" i="1"/>
  <c r="AG193" i="1"/>
  <c r="AF193" i="1"/>
  <c r="Q194" i="1"/>
  <c r="S194" i="1"/>
  <c r="T194" i="1"/>
  <c r="AG194" i="1"/>
  <c r="AF194" i="1"/>
  <c r="R195" i="1"/>
  <c r="Q195" i="1"/>
  <c r="S195" i="1"/>
  <c r="T195" i="1"/>
  <c r="AG195" i="1"/>
  <c r="AF195" i="1"/>
  <c r="R196" i="1"/>
  <c r="Q196" i="1"/>
  <c r="S196" i="1"/>
  <c r="T196" i="1"/>
  <c r="AG196" i="1"/>
  <c r="AF196" i="1"/>
  <c r="R197" i="1"/>
  <c r="Q197" i="1"/>
  <c r="S197" i="1"/>
  <c r="T197" i="1"/>
  <c r="AG197" i="1"/>
  <c r="AF197" i="1"/>
  <c r="Q198" i="1"/>
  <c r="S198" i="1"/>
  <c r="T198" i="1"/>
  <c r="AG198" i="1"/>
  <c r="AF198" i="1"/>
  <c r="R199" i="1"/>
  <c r="Q199" i="1"/>
  <c r="S199" i="1"/>
  <c r="T199" i="1"/>
  <c r="AG199" i="1"/>
  <c r="AF199" i="1"/>
  <c r="R200" i="1"/>
  <c r="Q200" i="1"/>
  <c r="S200" i="1"/>
  <c r="T200" i="1"/>
  <c r="AG200" i="1"/>
  <c r="AF200" i="1"/>
  <c r="R201" i="1"/>
  <c r="Q201" i="1"/>
  <c r="S201" i="1"/>
  <c r="T201" i="1"/>
  <c r="AG201" i="1"/>
  <c r="AF201" i="1"/>
  <c r="Q202" i="1"/>
  <c r="S202" i="1"/>
  <c r="T202" i="1"/>
  <c r="AG202" i="1"/>
  <c r="AF202" i="1"/>
  <c r="R203" i="1"/>
  <c r="Q203" i="1"/>
  <c r="S203" i="1"/>
  <c r="T203" i="1"/>
  <c r="AG203" i="1"/>
  <c r="AF203" i="1"/>
  <c r="R204" i="1"/>
  <c r="Q204" i="1"/>
  <c r="S204" i="1"/>
  <c r="T204" i="1"/>
  <c r="AG204" i="1"/>
  <c r="AF204" i="1"/>
  <c r="R205" i="1"/>
  <c r="Q205" i="1"/>
  <c r="S205" i="1"/>
  <c r="T205" i="1"/>
  <c r="AG205" i="1"/>
  <c r="AF205" i="1"/>
  <c r="Q206" i="1"/>
  <c r="S206" i="1"/>
  <c r="T206" i="1"/>
  <c r="AG206" i="1"/>
  <c r="AF206" i="1"/>
  <c r="BD8" i="1"/>
  <c r="BD7" i="1"/>
  <c r="BG8" i="1"/>
  <c r="BE8" i="1"/>
  <c r="BE7" i="1"/>
  <c r="BH8" i="1"/>
  <c r="BD9" i="1"/>
  <c r="BG9" i="1"/>
  <c r="BE9" i="1"/>
  <c r="BH9" i="1"/>
  <c r="BG10" i="1"/>
  <c r="BE10" i="1"/>
  <c r="BH10" i="1"/>
  <c r="BE6" i="1"/>
  <c r="BH6" i="1"/>
  <c r="BH7" i="1"/>
  <c r="BD6" i="1"/>
  <c r="BG7" i="1"/>
  <c r="BG6" i="1"/>
  <c r="BF8" i="1"/>
  <c r="BF9" i="1"/>
  <c r="BF10" i="1"/>
  <c r="BE4" i="1"/>
  <c r="BD4" i="1"/>
  <c r="BD3" i="1"/>
  <c r="BE3" i="1"/>
  <c r="BE209" i="1"/>
  <c r="BD209" i="1"/>
  <c r="AA20" i="1"/>
  <c r="Z22" i="1"/>
  <c r="AA22" i="1"/>
  <c r="Z23" i="1"/>
  <c r="AA23" i="1"/>
  <c r="Z24" i="1"/>
  <c r="AB24" i="1"/>
  <c r="AA24" i="1"/>
  <c r="Z25" i="1"/>
  <c r="AB25" i="1"/>
  <c r="AA25" i="1"/>
  <c r="Z27" i="1"/>
  <c r="AA27" i="1"/>
  <c r="Z28" i="1"/>
  <c r="AB28" i="1"/>
  <c r="AA28" i="1"/>
  <c r="Z29" i="1"/>
  <c r="AB29" i="1"/>
  <c r="AA29" i="1"/>
  <c r="Z30" i="1"/>
  <c r="AB30" i="1"/>
  <c r="AA30" i="1"/>
  <c r="Z31" i="1"/>
  <c r="AA31" i="1"/>
  <c r="Z32" i="1"/>
  <c r="AA32" i="1"/>
  <c r="Z33" i="1"/>
  <c r="AB33" i="1"/>
  <c r="AA33" i="1"/>
  <c r="Z34" i="1"/>
  <c r="AB34" i="1"/>
  <c r="AA34" i="1"/>
  <c r="Z35" i="1"/>
  <c r="AA35" i="1"/>
  <c r="Z36" i="1"/>
  <c r="AA36" i="1"/>
  <c r="Z37" i="1"/>
  <c r="AB37" i="1"/>
  <c r="AA37" i="1"/>
  <c r="Z38" i="1"/>
  <c r="AB38" i="1"/>
  <c r="AA38" i="1"/>
  <c r="Z39" i="1"/>
  <c r="AB39" i="1"/>
  <c r="AA39" i="1"/>
  <c r="Z40" i="1"/>
  <c r="AB40" i="1"/>
  <c r="AA40" i="1"/>
  <c r="Z41" i="1"/>
  <c r="AB41" i="1"/>
  <c r="AA41" i="1"/>
  <c r="Z42" i="1"/>
  <c r="AB42" i="1"/>
  <c r="AA42" i="1"/>
  <c r="Z43" i="1"/>
  <c r="AB43" i="1"/>
  <c r="AA43" i="1"/>
  <c r="Z44" i="1"/>
  <c r="AB44" i="1"/>
  <c r="AA44" i="1"/>
  <c r="Z45" i="1"/>
  <c r="AB45" i="1"/>
  <c r="AA45" i="1"/>
  <c r="Z46" i="1"/>
  <c r="AB46" i="1"/>
  <c r="AA46" i="1"/>
  <c r="Z47" i="1"/>
  <c r="AB47" i="1"/>
  <c r="AA47" i="1"/>
  <c r="Z48" i="1"/>
  <c r="AB48" i="1"/>
  <c r="AA48" i="1"/>
  <c r="Z49" i="1"/>
  <c r="AB49" i="1"/>
  <c r="AA49" i="1"/>
  <c r="Z50" i="1"/>
  <c r="AB50" i="1"/>
  <c r="AA50" i="1"/>
  <c r="Z51" i="1"/>
  <c r="AB51" i="1"/>
  <c r="AA51" i="1"/>
  <c r="Z52" i="1"/>
  <c r="AB52" i="1"/>
  <c r="AA52" i="1"/>
  <c r="Z53" i="1"/>
  <c r="AB53" i="1"/>
  <c r="AA53" i="1"/>
  <c r="Z54" i="1"/>
  <c r="AB54" i="1"/>
  <c r="AA54" i="1"/>
  <c r="Z55" i="1"/>
  <c r="AB55" i="1"/>
  <c r="AA55" i="1"/>
  <c r="Z56" i="1"/>
  <c r="AB56" i="1"/>
  <c r="AA56" i="1"/>
  <c r="Z57" i="1"/>
  <c r="AB57" i="1"/>
  <c r="AA57" i="1"/>
  <c r="Z58" i="1"/>
  <c r="AB58" i="1"/>
  <c r="AA58" i="1"/>
  <c r="Z59" i="1"/>
  <c r="AB59" i="1"/>
  <c r="AA59" i="1"/>
  <c r="Z60" i="1"/>
  <c r="AB60" i="1"/>
  <c r="AA60" i="1"/>
  <c r="Z61" i="1"/>
  <c r="AB61" i="1"/>
  <c r="AA61" i="1"/>
  <c r="Z62" i="1"/>
  <c r="AB62" i="1"/>
  <c r="AA62" i="1"/>
  <c r="Z63" i="1"/>
  <c r="AB63" i="1"/>
  <c r="AA63" i="1"/>
  <c r="Z64" i="1"/>
  <c r="AB64" i="1"/>
  <c r="AA64" i="1"/>
  <c r="Z65" i="1"/>
  <c r="AB65" i="1"/>
  <c r="AA65" i="1"/>
  <c r="Z66" i="1"/>
  <c r="AB66" i="1"/>
  <c r="AA66" i="1"/>
  <c r="Z67" i="1"/>
  <c r="AB67" i="1"/>
  <c r="AA67" i="1"/>
  <c r="Z68" i="1"/>
  <c r="AB68" i="1"/>
  <c r="AA68" i="1"/>
  <c r="Z69" i="1"/>
  <c r="AB69" i="1"/>
  <c r="AA69" i="1"/>
  <c r="Z70" i="1"/>
  <c r="AB70" i="1"/>
  <c r="AA70" i="1"/>
  <c r="Z71" i="1"/>
  <c r="AB71" i="1"/>
  <c r="AA71" i="1"/>
  <c r="Z72" i="1"/>
  <c r="AB72" i="1"/>
  <c r="AA72" i="1"/>
  <c r="Z73" i="1"/>
  <c r="AB73" i="1"/>
  <c r="AA73" i="1"/>
  <c r="Z74" i="1"/>
  <c r="AB74" i="1"/>
  <c r="AA74" i="1"/>
  <c r="Z75" i="1"/>
  <c r="AB75" i="1"/>
  <c r="AA75" i="1"/>
  <c r="Z76" i="1"/>
  <c r="AB76" i="1"/>
  <c r="AA76" i="1"/>
  <c r="Z77" i="1"/>
  <c r="AB77" i="1"/>
  <c r="AA77" i="1"/>
  <c r="Z78" i="1"/>
  <c r="AB78" i="1"/>
  <c r="AA78" i="1"/>
  <c r="Z79" i="1"/>
  <c r="AB79" i="1"/>
  <c r="AA79" i="1"/>
  <c r="Z80" i="1"/>
  <c r="AB80" i="1"/>
  <c r="AA80" i="1"/>
  <c r="Z81" i="1"/>
  <c r="AB81" i="1"/>
  <c r="AA81" i="1"/>
  <c r="Z82" i="1"/>
  <c r="AB82" i="1"/>
  <c r="AA82" i="1"/>
  <c r="Z83" i="1"/>
  <c r="AB83" i="1"/>
  <c r="AA83" i="1"/>
  <c r="Z84" i="1"/>
  <c r="AB84" i="1"/>
  <c r="AA84" i="1"/>
  <c r="Z85" i="1"/>
  <c r="AB85" i="1"/>
  <c r="AA85" i="1"/>
  <c r="Z86" i="1"/>
  <c r="AB86" i="1"/>
  <c r="AA86" i="1"/>
  <c r="Z87" i="1"/>
  <c r="AB87" i="1"/>
  <c r="AA87" i="1"/>
  <c r="Z88" i="1"/>
  <c r="AB88" i="1"/>
  <c r="AA88" i="1"/>
  <c r="Z89" i="1"/>
  <c r="AB89" i="1"/>
  <c r="AA89" i="1"/>
  <c r="Z90" i="1"/>
  <c r="AB90" i="1"/>
  <c r="AA90" i="1"/>
  <c r="Z91" i="1"/>
  <c r="AB91" i="1"/>
  <c r="AA91" i="1"/>
  <c r="Z92" i="1"/>
  <c r="AB92" i="1"/>
  <c r="AA92" i="1"/>
  <c r="Z93" i="1"/>
  <c r="AB93" i="1"/>
  <c r="AA93" i="1"/>
  <c r="Z94" i="1"/>
  <c r="AB94" i="1"/>
  <c r="AA94" i="1"/>
  <c r="Z95" i="1"/>
  <c r="AB95" i="1"/>
  <c r="AA95" i="1"/>
  <c r="Z96" i="1"/>
  <c r="AB96" i="1"/>
  <c r="AA96" i="1"/>
  <c r="Z97" i="1"/>
  <c r="AB97" i="1"/>
  <c r="AA97" i="1"/>
  <c r="Z98" i="1"/>
  <c r="AB98" i="1"/>
  <c r="AA98" i="1"/>
  <c r="Z99" i="1"/>
  <c r="AB99" i="1"/>
  <c r="AA99" i="1"/>
  <c r="Z100" i="1"/>
  <c r="AB100" i="1"/>
  <c r="AA100" i="1"/>
  <c r="Z101" i="1"/>
  <c r="AB101" i="1"/>
  <c r="AA101" i="1"/>
  <c r="Z102" i="1"/>
  <c r="AB102" i="1"/>
  <c r="AA102" i="1"/>
  <c r="Z103" i="1"/>
  <c r="AB103" i="1"/>
  <c r="AA103" i="1"/>
  <c r="Z104" i="1"/>
  <c r="AB104" i="1"/>
  <c r="AA104" i="1"/>
  <c r="Z105" i="1"/>
  <c r="AB105" i="1"/>
  <c r="AA105" i="1"/>
  <c r="Z106" i="1"/>
  <c r="AB106" i="1"/>
  <c r="AA106" i="1"/>
  <c r="Z107" i="1"/>
  <c r="AB107" i="1"/>
  <c r="AA107" i="1"/>
  <c r="Z108" i="1"/>
  <c r="AB108" i="1"/>
  <c r="AA108" i="1"/>
  <c r="Z109" i="1"/>
  <c r="AB109" i="1"/>
  <c r="AA109" i="1"/>
  <c r="Z110" i="1"/>
  <c r="AB110" i="1"/>
  <c r="AA110" i="1"/>
  <c r="Z111" i="1"/>
  <c r="AB111" i="1"/>
  <c r="AA111" i="1"/>
  <c r="Z112" i="1"/>
  <c r="AB112" i="1"/>
  <c r="AA112" i="1"/>
  <c r="Z113" i="1"/>
  <c r="AB113" i="1"/>
  <c r="AA113" i="1"/>
  <c r="Z114" i="1"/>
  <c r="AB114" i="1"/>
  <c r="AA114" i="1"/>
  <c r="Z115" i="1"/>
  <c r="AB115" i="1"/>
  <c r="AA115" i="1"/>
  <c r="Z116" i="1"/>
  <c r="AB116" i="1"/>
  <c r="AA116" i="1"/>
  <c r="Z117" i="1"/>
  <c r="AB117" i="1"/>
  <c r="AA117" i="1"/>
  <c r="Z118" i="1"/>
  <c r="AB118" i="1"/>
  <c r="AA118" i="1"/>
  <c r="Z119" i="1"/>
  <c r="AB119" i="1"/>
  <c r="AA119" i="1"/>
  <c r="Z120" i="1"/>
  <c r="AB120" i="1"/>
  <c r="AA120" i="1"/>
  <c r="Z121" i="1"/>
  <c r="AB121" i="1"/>
  <c r="AA121" i="1"/>
  <c r="Z122" i="1"/>
  <c r="AB122" i="1"/>
  <c r="AA122" i="1"/>
  <c r="Z123" i="1"/>
  <c r="AB123" i="1"/>
  <c r="AA123" i="1"/>
  <c r="Z124" i="1"/>
  <c r="AB124" i="1"/>
  <c r="AA124" i="1"/>
  <c r="Z125" i="1"/>
  <c r="AB125" i="1"/>
  <c r="AA125" i="1"/>
  <c r="Z126" i="1"/>
  <c r="AB126" i="1"/>
  <c r="AA126" i="1"/>
  <c r="Z127" i="1"/>
  <c r="AB127" i="1"/>
  <c r="AA127" i="1"/>
  <c r="Z128" i="1"/>
  <c r="AB128" i="1"/>
  <c r="AA128" i="1"/>
  <c r="Z129" i="1"/>
  <c r="AB129" i="1"/>
  <c r="AA129" i="1"/>
  <c r="Z130" i="1"/>
  <c r="AB130" i="1"/>
  <c r="AA130" i="1"/>
  <c r="Z131" i="1"/>
  <c r="AB131" i="1"/>
  <c r="AA131" i="1"/>
  <c r="Z132" i="1"/>
  <c r="AB132" i="1"/>
  <c r="AA132" i="1"/>
  <c r="Z133" i="1"/>
  <c r="AB133" i="1"/>
  <c r="AA133" i="1"/>
  <c r="Z134" i="1"/>
  <c r="AB134" i="1"/>
  <c r="AA134" i="1"/>
  <c r="Z135" i="1"/>
  <c r="AB135" i="1"/>
  <c r="AA135" i="1"/>
  <c r="Z136" i="1"/>
  <c r="AB136" i="1"/>
  <c r="AA136" i="1"/>
  <c r="Z137" i="1"/>
  <c r="AB137" i="1"/>
  <c r="AA137" i="1"/>
  <c r="Z138" i="1"/>
  <c r="AB138" i="1"/>
  <c r="AA138" i="1"/>
  <c r="Z139" i="1"/>
  <c r="AB139" i="1"/>
  <c r="AA139" i="1"/>
  <c r="Z140" i="1"/>
  <c r="AB140" i="1"/>
  <c r="AA140" i="1"/>
  <c r="Z141" i="1"/>
  <c r="AB141" i="1"/>
  <c r="AA141" i="1"/>
  <c r="Z142" i="1"/>
  <c r="AB142" i="1"/>
  <c r="AA142" i="1"/>
  <c r="Z143" i="1"/>
  <c r="AB143" i="1"/>
  <c r="AA143" i="1"/>
  <c r="Z144" i="1"/>
  <c r="AB144" i="1"/>
  <c r="AA144" i="1"/>
  <c r="Z145" i="1"/>
  <c r="AB145" i="1"/>
  <c r="AA145" i="1"/>
  <c r="Z146" i="1"/>
  <c r="AB146" i="1"/>
  <c r="AA146" i="1"/>
  <c r="Z147" i="1"/>
  <c r="AB147" i="1"/>
  <c r="AA147" i="1"/>
  <c r="Z148" i="1"/>
  <c r="AB148" i="1"/>
  <c r="AA148" i="1"/>
  <c r="Z149" i="1"/>
  <c r="AB149" i="1"/>
  <c r="AA149" i="1"/>
  <c r="Z150" i="1"/>
  <c r="AB150" i="1"/>
  <c r="AA150" i="1"/>
  <c r="Z151" i="1"/>
  <c r="AB151" i="1"/>
  <c r="AA151" i="1"/>
  <c r="Z152" i="1"/>
  <c r="AB152" i="1"/>
  <c r="AA152" i="1"/>
  <c r="Z153" i="1"/>
  <c r="AB153" i="1"/>
  <c r="AA153" i="1"/>
  <c r="Z154" i="1"/>
  <c r="AB154" i="1"/>
  <c r="AA154" i="1"/>
  <c r="Z155" i="1"/>
  <c r="AB155" i="1"/>
  <c r="AA155" i="1"/>
  <c r="Z156" i="1"/>
  <c r="AB156" i="1"/>
  <c r="AA156" i="1"/>
  <c r="Z157" i="1"/>
  <c r="AB157" i="1"/>
  <c r="AA157" i="1"/>
  <c r="Z158" i="1"/>
  <c r="AB158" i="1"/>
  <c r="AA158" i="1"/>
  <c r="Z159" i="1"/>
  <c r="AB159" i="1"/>
  <c r="AA159" i="1"/>
  <c r="Z160" i="1"/>
  <c r="AB160" i="1"/>
  <c r="AA160" i="1"/>
  <c r="Z161" i="1"/>
  <c r="AB161" i="1"/>
  <c r="AA161" i="1"/>
  <c r="Z162" i="1"/>
  <c r="AB162" i="1"/>
  <c r="AA162" i="1"/>
  <c r="Z163" i="1"/>
  <c r="AB163" i="1"/>
  <c r="AA163" i="1"/>
  <c r="Z164" i="1"/>
  <c r="AB164" i="1"/>
  <c r="AA164" i="1"/>
  <c r="Z165" i="1"/>
  <c r="AB165" i="1"/>
  <c r="AA165" i="1"/>
  <c r="Z166" i="1"/>
  <c r="AB166" i="1"/>
  <c r="AA166" i="1"/>
  <c r="Z167" i="1"/>
  <c r="AB167" i="1"/>
  <c r="AA167" i="1"/>
  <c r="Z168" i="1"/>
  <c r="AB168" i="1"/>
  <c r="AA168" i="1"/>
  <c r="Z169" i="1"/>
  <c r="AB169" i="1"/>
  <c r="AA169" i="1"/>
  <c r="Z170" i="1"/>
  <c r="AB170" i="1"/>
  <c r="AA170" i="1"/>
  <c r="Z171" i="1"/>
  <c r="AB171" i="1"/>
  <c r="AA171" i="1"/>
  <c r="Z172" i="1"/>
  <c r="AB172" i="1"/>
  <c r="AA172" i="1"/>
  <c r="Z173" i="1"/>
  <c r="AB173" i="1"/>
  <c r="AA173" i="1"/>
  <c r="Z174" i="1"/>
  <c r="AB174" i="1"/>
  <c r="AA174" i="1"/>
  <c r="Z175" i="1"/>
  <c r="AB175" i="1"/>
  <c r="AA175" i="1"/>
  <c r="Z176" i="1"/>
  <c r="AB176" i="1"/>
  <c r="AA176" i="1"/>
  <c r="Z177" i="1"/>
  <c r="AB177" i="1"/>
  <c r="AA177" i="1"/>
  <c r="Z178" i="1"/>
  <c r="AB178" i="1"/>
  <c r="AA178" i="1"/>
  <c r="Z179" i="1"/>
  <c r="AB179" i="1"/>
  <c r="AA179" i="1"/>
  <c r="Z180" i="1"/>
  <c r="AB180" i="1"/>
  <c r="AA180" i="1"/>
  <c r="Z181" i="1"/>
  <c r="AB181" i="1"/>
  <c r="AA181" i="1"/>
  <c r="Z182" i="1"/>
  <c r="AB182" i="1"/>
  <c r="AA182" i="1"/>
  <c r="Z183" i="1"/>
  <c r="AB183" i="1"/>
  <c r="AA183" i="1"/>
  <c r="Z184" i="1"/>
  <c r="AB184" i="1"/>
  <c r="AA184" i="1"/>
  <c r="Z185" i="1"/>
  <c r="AB185" i="1"/>
  <c r="AA185" i="1"/>
  <c r="Z186" i="1"/>
  <c r="AB186" i="1"/>
  <c r="AA186" i="1"/>
  <c r="Z187" i="1"/>
  <c r="AB187" i="1"/>
  <c r="AA187" i="1"/>
  <c r="Z188" i="1"/>
  <c r="AB188" i="1"/>
  <c r="AA188" i="1"/>
  <c r="Z189" i="1"/>
  <c r="AB189" i="1"/>
  <c r="AA189" i="1"/>
  <c r="Z190" i="1"/>
  <c r="AB190" i="1"/>
  <c r="AA190" i="1"/>
  <c r="Z191" i="1"/>
  <c r="AB191" i="1"/>
  <c r="AA191" i="1"/>
  <c r="Z192" i="1"/>
  <c r="AB192" i="1"/>
  <c r="AA192" i="1"/>
  <c r="Z193" i="1"/>
  <c r="AB193" i="1"/>
  <c r="AA193" i="1"/>
  <c r="Z194" i="1"/>
  <c r="AB194" i="1"/>
  <c r="AA194" i="1"/>
  <c r="Z195" i="1"/>
  <c r="AB195" i="1"/>
  <c r="AA195" i="1"/>
  <c r="Z196" i="1"/>
  <c r="AB196" i="1"/>
  <c r="AA196" i="1"/>
  <c r="Z197" i="1"/>
  <c r="AB197" i="1"/>
  <c r="AA197" i="1"/>
  <c r="Z198" i="1"/>
  <c r="AB198" i="1"/>
  <c r="AA198" i="1"/>
  <c r="Z199" i="1"/>
  <c r="AB199" i="1"/>
  <c r="AA199" i="1"/>
  <c r="Z200" i="1"/>
  <c r="AB200" i="1"/>
  <c r="AA200" i="1"/>
  <c r="Z201" i="1"/>
  <c r="AB201" i="1"/>
  <c r="AA201" i="1"/>
  <c r="Z202" i="1"/>
  <c r="AB202" i="1"/>
  <c r="AA202" i="1"/>
  <c r="Z203" i="1"/>
  <c r="AB203" i="1"/>
  <c r="AA203" i="1"/>
  <c r="Z204" i="1"/>
  <c r="AA204" i="1"/>
  <c r="Z205" i="1"/>
  <c r="AA205" i="1"/>
  <c r="Z206" i="1"/>
  <c r="AB206" i="1"/>
  <c r="AA206" i="1"/>
  <c r="Z207" i="1"/>
  <c r="AB207" i="1"/>
  <c r="AA207" i="1"/>
  <c r="AR6" i="1"/>
  <c r="AO23" i="1"/>
  <c r="AO24" i="1"/>
  <c r="AO25" i="1"/>
  <c r="AO27" i="1"/>
  <c r="AO28" i="1"/>
  <c r="AO29" i="1"/>
  <c r="AO30" i="1"/>
  <c r="AO31" i="1"/>
  <c r="AO32" i="1"/>
  <c r="AO33" i="1"/>
  <c r="AO34" i="1"/>
  <c r="AO35" i="1"/>
  <c r="AO36" i="1"/>
  <c r="AO37" i="1"/>
  <c r="Y37" i="1"/>
  <c r="Y38" i="1"/>
  <c r="AO38" i="1"/>
  <c r="AO39" i="1"/>
  <c r="AO40" i="1"/>
  <c r="AO41" i="1"/>
  <c r="Y41" i="1"/>
  <c r="Y42" i="1"/>
  <c r="AO42" i="1"/>
  <c r="AO43" i="1"/>
  <c r="AO44" i="1"/>
  <c r="AO45" i="1"/>
  <c r="Y45" i="1"/>
  <c r="Y46" i="1"/>
  <c r="AO46" i="1"/>
  <c r="AO47" i="1"/>
  <c r="AO48" i="1"/>
  <c r="AO49" i="1"/>
  <c r="Y49" i="1"/>
  <c r="Y50" i="1"/>
  <c r="AO50" i="1"/>
  <c r="AO51" i="1"/>
  <c r="AO52" i="1"/>
  <c r="AO53" i="1"/>
  <c r="Y53" i="1"/>
  <c r="Y54" i="1"/>
  <c r="AO54" i="1"/>
  <c r="AO55" i="1"/>
  <c r="AO56" i="1"/>
  <c r="AO57" i="1"/>
  <c r="Y57" i="1"/>
  <c r="Y58" i="1"/>
  <c r="AO58" i="1"/>
  <c r="AO59" i="1"/>
  <c r="AO60" i="1"/>
  <c r="AO61" i="1"/>
  <c r="Y61" i="1"/>
  <c r="Y62" i="1"/>
  <c r="AO62" i="1"/>
  <c r="AO63" i="1"/>
  <c r="AO64" i="1"/>
  <c r="AO65" i="1"/>
  <c r="Y65" i="1"/>
  <c r="Y66" i="1"/>
  <c r="AO66" i="1"/>
  <c r="AO67" i="1"/>
  <c r="AO68" i="1"/>
  <c r="AO69" i="1"/>
  <c r="Y69" i="1"/>
  <c r="Y70" i="1"/>
  <c r="AO70" i="1"/>
  <c r="AO71" i="1"/>
  <c r="AO72" i="1"/>
  <c r="AO73" i="1"/>
  <c r="Y73" i="1"/>
  <c r="Y74" i="1"/>
  <c r="AO74" i="1"/>
  <c r="AO75" i="1"/>
  <c r="AO76" i="1"/>
  <c r="AO77" i="1"/>
  <c r="Y77" i="1"/>
  <c r="Y78" i="1"/>
  <c r="AO78" i="1"/>
  <c r="AO79" i="1"/>
  <c r="AO80" i="1"/>
  <c r="AO81" i="1"/>
  <c r="Y81" i="1"/>
  <c r="Y82" i="1"/>
  <c r="AO82" i="1"/>
  <c r="AO83" i="1"/>
  <c r="AO84" i="1"/>
  <c r="AO85" i="1"/>
  <c r="Y85" i="1"/>
  <c r="Y86" i="1"/>
  <c r="AO86" i="1"/>
  <c r="AO87" i="1"/>
  <c r="AO88" i="1"/>
  <c r="AO89" i="1"/>
  <c r="AO90" i="1"/>
  <c r="AO91" i="1"/>
  <c r="AO92" i="1"/>
  <c r="AO93" i="1"/>
  <c r="AO94" i="1"/>
  <c r="AO95" i="1"/>
  <c r="AO96" i="1"/>
  <c r="AO97" i="1"/>
  <c r="AO98" i="1"/>
  <c r="AO99" i="1"/>
  <c r="AX8" i="1"/>
  <c r="AX7" i="1"/>
  <c r="AN23" i="1"/>
  <c r="AN24" i="1"/>
  <c r="AN25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U6" i="1"/>
  <c r="AU5" i="1"/>
  <c r="AK66" i="1"/>
  <c r="AN3" i="1"/>
  <c r="AJ66" i="1"/>
  <c r="AM3" i="1"/>
  <c r="AL3" i="1"/>
  <c r="AJ3" i="1"/>
  <c r="O64" i="1"/>
  <c r="R63" i="1"/>
  <c r="O63" i="1"/>
  <c r="O60" i="1"/>
  <c r="R59" i="1"/>
  <c r="O59" i="1"/>
  <c r="O56" i="1"/>
  <c r="R55" i="1"/>
  <c r="O55" i="1"/>
  <c r="O52" i="1"/>
  <c r="R51" i="1"/>
  <c r="O51" i="1"/>
  <c r="O48" i="1"/>
  <c r="R47" i="1"/>
  <c r="O47" i="1"/>
  <c r="O44" i="1"/>
  <c r="R43" i="1"/>
  <c r="O43" i="1"/>
  <c r="O40" i="1"/>
  <c r="R39" i="1"/>
  <c r="O39" i="1"/>
  <c r="O36" i="1"/>
  <c r="R35" i="1"/>
  <c r="R31" i="1"/>
  <c r="AI3" i="1"/>
  <c r="AK206" i="1"/>
  <c r="AK106" i="1"/>
  <c r="AK99" i="1"/>
  <c r="AN4" i="1"/>
  <c r="AJ206" i="1"/>
  <c r="AJ99" i="1"/>
  <c r="AM4" i="1"/>
  <c r="AL4" i="1"/>
  <c r="AJ4" i="1"/>
  <c r="R91" i="1"/>
  <c r="O91" i="1"/>
  <c r="O88" i="1"/>
  <c r="R87" i="1"/>
  <c r="O84" i="1"/>
  <c r="R83" i="1"/>
  <c r="O83" i="1"/>
  <c r="O80" i="1"/>
  <c r="R79" i="1"/>
  <c r="O79" i="1"/>
  <c r="O76" i="1"/>
  <c r="R75" i="1"/>
  <c r="O75" i="1"/>
  <c r="O72" i="1"/>
  <c r="R71" i="1"/>
  <c r="O71" i="1"/>
  <c r="O68" i="1"/>
  <c r="R67" i="1"/>
  <c r="O67" i="1"/>
  <c r="AI4" i="1"/>
  <c r="AJ195" i="1"/>
  <c r="AK195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0" i="1"/>
  <c r="AN191" i="1"/>
  <c r="AN192" i="1"/>
  <c r="AN193" i="1"/>
  <c r="AN194" i="1"/>
  <c r="AN195" i="1"/>
  <c r="AO100" i="1"/>
  <c r="AO101" i="1"/>
  <c r="AO102" i="1"/>
  <c r="AO103" i="1"/>
  <c r="AO104" i="1"/>
  <c r="AO105" i="1"/>
  <c r="AO106" i="1"/>
  <c r="AO107" i="1"/>
  <c r="AO108" i="1"/>
  <c r="AO109" i="1"/>
  <c r="AO110" i="1"/>
  <c r="AO111" i="1"/>
  <c r="AO112" i="1"/>
  <c r="AO113" i="1"/>
  <c r="AO114" i="1"/>
  <c r="AO115" i="1"/>
  <c r="AO116" i="1"/>
  <c r="AO117" i="1"/>
  <c r="AO118" i="1"/>
  <c r="AO119" i="1"/>
  <c r="AO120" i="1"/>
  <c r="AO121" i="1"/>
  <c r="AO122" i="1"/>
  <c r="AO123" i="1"/>
  <c r="AO124" i="1"/>
  <c r="AO125" i="1"/>
  <c r="AO126" i="1"/>
  <c r="AO127" i="1"/>
  <c r="AO128" i="1"/>
  <c r="AO129" i="1"/>
  <c r="AO130" i="1"/>
  <c r="AO131" i="1"/>
  <c r="AO132" i="1"/>
  <c r="AO133" i="1"/>
  <c r="AO134" i="1"/>
  <c r="AO135" i="1"/>
  <c r="AO136" i="1"/>
  <c r="AO137" i="1"/>
  <c r="AO138" i="1"/>
  <c r="AO139" i="1"/>
  <c r="AO140" i="1"/>
  <c r="AO141" i="1"/>
  <c r="AO142" i="1"/>
  <c r="AO143" i="1"/>
  <c r="AO144" i="1"/>
  <c r="AO145" i="1"/>
  <c r="AO146" i="1"/>
  <c r="AO147" i="1"/>
  <c r="AO148" i="1"/>
  <c r="AO149" i="1"/>
  <c r="AO150" i="1"/>
  <c r="AO151" i="1"/>
  <c r="AO152" i="1"/>
  <c r="AO153" i="1"/>
  <c r="AO154" i="1"/>
  <c r="AO155" i="1"/>
  <c r="AO156" i="1"/>
  <c r="AO157" i="1"/>
  <c r="AO158" i="1"/>
  <c r="AO159" i="1"/>
  <c r="AO160" i="1"/>
  <c r="AO161" i="1"/>
  <c r="AO162" i="1"/>
  <c r="AO163" i="1"/>
  <c r="AO164" i="1"/>
  <c r="AO165" i="1"/>
  <c r="AO166" i="1"/>
  <c r="AO167" i="1"/>
  <c r="AO168" i="1"/>
  <c r="AO169" i="1"/>
  <c r="AO170" i="1"/>
  <c r="AO171" i="1"/>
  <c r="AO172" i="1"/>
  <c r="AO173" i="1"/>
  <c r="AO174" i="1"/>
  <c r="AO175" i="1"/>
  <c r="AO176" i="1"/>
  <c r="AO177" i="1"/>
  <c r="AO178" i="1"/>
  <c r="AO179" i="1"/>
  <c r="AO180" i="1"/>
  <c r="AO181" i="1"/>
  <c r="AO182" i="1"/>
  <c r="AO183" i="1"/>
  <c r="AO184" i="1"/>
  <c r="AO185" i="1"/>
  <c r="AO186" i="1"/>
  <c r="AO187" i="1"/>
  <c r="AO188" i="1"/>
  <c r="AO189" i="1"/>
  <c r="AO190" i="1"/>
  <c r="AO191" i="1"/>
  <c r="AO192" i="1"/>
  <c r="AO193" i="1"/>
  <c r="AO194" i="1"/>
  <c r="AO195" i="1"/>
  <c r="AJ196" i="1"/>
  <c r="AK196" i="1"/>
  <c r="AN196" i="1"/>
  <c r="AO196" i="1"/>
  <c r="AJ197" i="1"/>
  <c r="AK197" i="1"/>
  <c r="AN197" i="1"/>
  <c r="AO197" i="1"/>
  <c r="AJ198" i="1"/>
  <c r="AK198" i="1"/>
  <c r="AN198" i="1"/>
  <c r="AO198" i="1"/>
  <c r="AJ199" i="1"/>
  <c r="AK199" i="1"/>
  <c r="AN199" i="1"/>
  <c r="AO199" i="1"/>
  <c r="AJ200" i="1"/>
  <c r="AK200" i="1"/>
  <c r="AN200" i="1"/>
  <c r="AO200" i="1"/>
  <c r="AJ201" i="1"/>
  <c r="AK201" i="1"/>
  <c r="AN201" i="1"/>
  <c r="AO201" i="1"/>
  <c r="AJ202" i="1"/>
  <c r="AK202" i="1"/>
  <c r="AN202" i="1"/>
  <c r="AO202" i="1"/>
  <c r="AJ203" i="1"/>
  <c r="AK203" i="1"/>
  <c r="AN203" i="1"/>
  <c r="AO203" i="1"/>
  <c r="AJ204" i="1"/>
  <c r="AK204" i="1"/>
  <c r="AN204" i="1"/>
  <c r="AO204" i="1"/>
  <c r="AJ205" i="1"/>
  <c r="AK205" i="1"/>
  <c r="AN205" i="1"/>
  <c r="AO205" i="1"/>
  <c r="AN206" i="1"/>
  <c r="AO206" i="1"/>
  <c r="W203" i="1"/>
  <c r="W204" i="1"/>
  <c r="W205" i="1"/>
  <c r="W206" i="1"/>
  <c r="W201" i="1"/>
  <c r="W202" i="1"/>
  <c r="W154" i="1"/>
  <c r="AL5" i="1"/>
  <c r="AG7" i="1"/>
  <c r="AN13" i="1"/>
  <c r="AI13" i="1"/>
  <c r="AJ13" i="1"/>
  <c r="AX3" i="1"/>
  <c r="AY3" i="1"/>
  <c r="AY4" i="1"/>
  <c r="AY6" i="1"/>
  <c r="AL6" i="1"/>
  <c r="AK13" i="1"/>
  <c r="AL13" i="1"/>
  <c r="AN5" i="1"/>
  <c r="AN6" i="1"/>
  <c r="AK15" i="1"/>
  <c r="AL15" i="1"/>
  <c r="AM13" i="1"/>
  <c r="AI5" i="1"/>
  <c r="AJ5" i="1"/>
  <c r="AK5" i="1"/>
  <c r="AI12" i="1"/>
  <c r="AJ12" i="1"/>
  <c r="AR9" i="1"/>
  <c r="AU7" i="1"/>
  <c r="AU1" i="1"/>
  <c r="AU9" i="1"/>
  <c r="AR5" i="1"/>
  <c r="AK12" i="1"/>
  <c r="AL12" i="1"/>
  <c r="AM12" i="1"/>
  <c r="O35" i="1"/>
  <c r="O31" i="1"/>
  <c r="O27" i="1"/>
  <c r="AR4" i="1"/>
  <c r="AB32" i="1"/>
  <c r="AB36" i="1"/>
  <c r="Y30" i="1"/>
  <c r="Y34" i="1"/>
  <c r="AX5" i="1"/>
  <c r="AM5" i="1"/>
  <c r="AJ14" i="1"/>
  <c r="AL14" i="1"/>
  <c r="AZ3" i="1"/>
  <c r="AZ4" i="1"/>
  <c r="AZ5" i="1"/>
  <c r="AX4" i="1"/>
  <c r="AF209" i="1"/>
  <c r="AG209" i="1"/>
  <c r="AH209" i="1"/>
  <c r="AI209" i="1"/>
  <c r="AJ209" i="1"/>
  <c r="AK209" i="1"/>
  <c r="AL209" i="1"/>
  <c r="AM209" i="1"/>
  <c r="AN209" i="1"/>
  <c r="AO209" i="1"/>
  <c r="AE209" i="1"/>
  <c r="AO20" i="1"/>
  <c r="AO22" i="1"/>
  <c r="AU3" i="1"/>
  <c r="AN22" i="1"/>
  <c r="AN20" i="1"/>
  <c r="AJ165" i="1"/>
  <c r="AK165" i="1"/>
  <c r="AJ166" i="1"/>
  <c r="AK166" i="1"/>
  <c r="AJ167" i="1"/>
  <c r="AK167" i="1"/>
  <c r="AJ168" i="1"/>
  <c r="AK168" i="1"/>
  <c r="AJ169" i="1"/>
  <c r="AK169" i="1"/>
  <c r="AJ170" i="1"/>
  <c r="AK170" i="1"/>
  <c r="AJ171" i="1"/>
  <c r="AK171" i="1"/>
  <c r="AJ172" i="1"/>
  <c r="AK172" i="1"/>
  <c r="AJ173" i="1"/>
  <c r="AK173" i="1"/>
  <c r="AJ174" i="1"/>
  <c r="AK174" i="1"/>
  <c r="AJ175" i="1"/>
  <c r="AK175" i="1"/>
  <c r="AJ176" i="1"/>
  <c r="AK176" i="1"/>
  <c r="AJ177" i="1"/>
  <c r="AK177" i="1"/>
  <c r="AJ178" i="1"/>
  <c r="AK178" i="1"/>
  <c r="AJ179" i="1"/>
  <c r="AK179" i="1"/>
  <c r="AJ180" i="1"/>
  <c r="AK180" i="1"/>
  <c r="AJ181" i="1"/>
  <c r="AK181" i="1"/>
  <c r="AJ182" i="1"/>
  <c r="AK182" i="1"/>
  <c r="AJ183" i="1"/>
  <c r="AK183" i="1"/>
  <c r="AJ184" i="1"/>
  <c r="AK184" i="1"/>
  <c r="AJ185" i="1"/>
  <c r="AK185" i="1"/>
  <c r="AJ186" i="1"/>
  <c r="AK186" i="1"/>
  <c r="AJ187" i="1"/>
  <c r="AK187" i="1"/>
  <c r="AJ188" i="1"/>
  <c r="AK188" i="1"/>
  <c r="AJ189" i="1"/>
  <c r="AK189" i="1"/>
  <c r="AJ190" i="1"/>
  <c r="AK190" i="1"/>
  <c r="AJ191" i="1"/>
  <c r="AK191" i="1"/>
  <c r="AJ192" i="1"/>
  <c r="AK192" i="1"/>
  <c r="AJ193" i="1"/>
  <c r="AK193" i="1"/>
  <c r="AJ194" i="1"/>
  <c r="AK194" i="1"/>
  <c r="AH20" i="1"/>
  <c r="AJ29" i="1"/>
  <c r="AK29" i="1"/>
  <c r="AJ30" i="1"/>
  <c r="AK30" i="1"/>
  <c r="AJ31" i="1"/>
  <c r="AK31" i="1"/>
  <c r="Y32" i="1"/>
  <c r="AJ32" i="1"/>
  <c r="AK32" i="1"/>
  <c r="AJ33" i="1"/>
  <c r="AK33" i="1"/>
  <c r="AJ34" i="1"/>
  <c r="AK34" i="1"/>
  <c r="AJ35" i="1"/>
  <c r="AK35" i="1"/>
  <c r="Y36" i="1"/>
  <c r="AJ36" i="1"/>
  <c r="AK36" i="1"/>
  <c r="AJ37" i="1"/>
  <c r="AK37" i="1"/>
  <c r="AJ38" i="1"/>
  <c r="AK38" i="1"/>
  <c r="AJ39" i="1"/>
  <c r="AK39" i="1"/>
  <c r="Y40" i="1"/>
  <c r="AJ40" i="1"/>
  <c r="AK40" i="1"/>
  <c r="AJ41" i="1"/>
  <c r="AK41" i="1"/>
  <c r="AJ42" i="1"/>
  <c r="AK42" i="1"/>
  <c r="AJ43" i="1"/>
  <c r="AK43" i="1"/>
  <c r="Y44" i="1"/>
  <c r="AJ44" i="1"/>
  <c r="AK44" i="1"/>
  <c r="AJ45" i="1"/>
  <c r="AK45" i="1"/>
  <c r="AJ46" i="1"/>
  <c r="AK46" i="1"/>
  <c r="AJ47" i="1"/>
  <c r="AK47" i="1"/>
  <c r="Y48" i="1"/>
  <c r="AJ48" i="1"/>
  <c r="AK48" i="1"/>
  <c r="AJ49" i="1"/>
  <c r="AK49" i="1"/>
  <c r="AJ50" i="1"/>
  <c r="AK50" i="1"/>
  <c r="AJ51" i="1"/>
  <c r="AK51" i="1"/>
  <c r="Y52" i="1"/>
  <c r="AJ52" i="1"/>
  <c r="AK52" i="1"/>
  <c r="AJ53" i="1"/>
  <c r="AK53" i="1"/>
  <c r="AJ54" i="1"/>
  <c r="AK54" i="1"/>
  <c r="AJ55" i="1"/>
  <c r="AK55" i="1"/>
  <c r="Y56" i="1"/>
  <c r="AJ56" i="1"/>
  <c r="AK56" i="1"/>
  <c r="AJ57" i="1"/>
  <c r="AK57" i="1"/>
  <c r="AJ58" i="1"/>
  <c r="AK58" i="1"/>
  <c r="AJ59" i="1"/>
  <c r="AK59" i="1"/>
  <c r="Y60" i="1"/>
  <c r="AJ60" i="1"/>
  <c r="AK60" i="1"/>
  <c r="AJ61" i="1"/>
  <c r="AK61" i="1"/>
  <c r="AJ62" i="1"/>
  <c r="AK62" i="1"/>
  <c r="AJ63" i="1"/>
  <c r="AK63" i="1"/>
  <c r="Y64" i="1"/>
  <c r="AJ64" i="1"/>
  <c r="AK64" i="1"/>
  <c r="AJ65" i="1"/>
  <c r="AK65" i="1"/>
  <c r="AJ67" i="1"/>
  <c r="AK67" i="1"/>
  <c r="Y68" i="1"/>
  <c r="AJ68" i="1"/>
  <c r="AK68" i="1"/>
  <c r="AJ69" i="1"/>
  <c r="AK69" i="1"/>
  <c r="AJ70" i="1"/>
  <c r="AK70" i="1"/>
  <c r="AJ71" i="1"/>
  <c r="AK71" i="1"/>
  <c r="Y72" i="1"/>
  <c r="AJ72" i="1"/>
  <c r="AK72" i="1"/>
  <c r="AJ73" i="1"/>
  <c r="AK73" i="1"/>
  <c r="AJ74" i="1"/>
  <c r="AK74" i="1"/>
  <c r="AJ75" i="1"/>
  <c r="AK75" i="1"/>
  <c r="Y76" i="1"/>
  <c r="AJ76" i="1"/>
  <c r="AK76" i="1"/>
  <c r="AJ77" i="1"/>
  <c r="AK77" i="1"/>
  <c r="AJ78" i="1"/>
  <c r="AK78" i="1"/>
  <c r="AJ79" i="1"/>
  <c r="AK79" i="1"/>
  <c r="Y80" i="1"/>
  <c r="AJ80" i="1"/>
  <c r="AK80" i="1"/>
  <c r="AJ81" i="1"/>
  <c r="AK81" i="1"/>
  <c r="AJ82" i="1"/>
  <c r="AK82" i="1"/>
  <c r="AJ83" i="1"/>
  <c r="AK83" i="1"/>
  <c r="Y84" i="1"/>
  <c r="AJ84" i="1"/>
  <c r="AK84" i="1"/>
  <c r="AJ85" i="1"/>
  <c r="AK85" i="1"/>
  <c r="AJ86" i="1"/>
  <c r="AK86" i="1"/>
  <c r="AJ87" i="1"/>
  <c r="AK87" i="1"/>
  <c r="Y88" i="1"/>
  <c r="AJ88" i="1"/>
  <c r="AK88" i="1"/>
  <c r="AJ89" i="1"/>
  <c r="AK89" i="1"/>
  <c r="AJ90" i="1"/>
  <c r="AK90" i="1"/>
  <c r="AJ91" i="1"/>
  <c r="AK91" i="1"/>
  <c r="AJ92" i="1"/>
  <c r="AK92" i="1"/>
  <c r="AJ93" i="1"/>
  <c r="AK93" i="1"/>
  <c r="AJ94" i="1"/>
  <c r="AK94" i="1"/>
  <c r="AJ95" i="1"/>
  <c r="AK95" i="1"/>
  <c r="AJ96" i="1"/>
  <c r="AK96" i="1"/>
  <c r="AJ97" i="1"/>
  <c r="AK97" i="1"/>
  <c r="AJ98" i="1"/>
  <c r="AK98" i="1"/>
  <c r="AJ100" i="1"/>
  <c r="AK100" i="1"/>
  <c r="AJ101" i="1"/>
  <c r="AK101" i="1"/>
  <c r="AJ102" i="1"/>
  <c r="AK102" i="1"/>
  <c r="AJ103" i="1"/>
  <c r="AK103" i="1"/>
  <c r="AJ104" i="1"/>
  <c r="AK104" i="1"/>
  <c r="AJ105" i="1"/>
  <c r="AK105" i="1"/>
  <c r="AJ106" i="1"/>
  <c r="AJ107" i="1"/>
  <c r="AK107" i="1"/>
  <c r="AJ108" i="1"/>
  <c r="AK108" i="1"/>
  <c r="AJ109" i="1"/>
  <c r="AK109" i="1"/>
  <c r="AJ110" i="1"/>
  <c r="AK110" i="1"/>
  <c r="AJ111" i="1"/>
  <c r="AK111" i="1"/>
  <c r="AJ112" i="1"/>
  <c r="AK112" i="1"/>
  <c r="AJ113" i="1"/>
  <c r="AK113" i="1"/>
  <c r="AJ114" i="1"/>
  <c r="AK114" i="1"/>
  <c r="AJ115" i="1"/>
  <c r="AK115" i="1"/>
  <c r="AJ116" i="1"/>
  <c r="AK116" i="1"/>
  <c r="AJ117" i="1"/>
  <c r="AK117" i="1"/>
  <c r="AJ118" i="1"/>
  <c r="AK118" i="1"/>
  <c r="AJ119" i="1"/>
  <c r="AK119" i="1"/>
  <c r="AJ120" i="1"/>
  <c r="AK120" i="1"/>
  <c r="AJ121" i="1"/>
  <c r="AK121" i="1"/>
  <c r="AJ122" i="1"/>
  <c r="AK122" i="1"/>
  <c r="AJ123" i="1"/>
  <c r="AK123" i="1"/>
  <c r="AJ124" i="1"/>
  <c r="AK124" i="1"/>
  <c r="AJ125" i="1"/>
  <c r="AK125" i="1"/>
  <c r="AJ126" i="1"/>
  <c r="AK126" i="1"/>
  <c r="AJ127" i="1"/>
  <c r="AK127" i="1"/>
  <c r="AJ128" i="1"/>
  <c r="AK128" i="1"/>
  <c r="AJ129" i="1"/>
  <c r="AK129" i="1"/>
  <c r="AJ130" i="1"/>
  <c r="AK130" i="1"/>
  <c r="AJ131" i="1"/>
  <c r="AK131" i="1"/>
  <c r="AJ132" i="1"/>
  <c r="AK132" i="1"/>
  <c r="AJ133" i="1"/>
  <c r="AK133" i="1"/>
  <c r="AJ134" i="1"/>
  <c r="AK134" i="1"/>
  <c r="AJ135" i="1"/>
  <c r="AK135" i="1"/>
  <c r="AJ136" i="1"/>
  <c r="AK136" i="1"/>
  <c r="AJ137" i="1"/>
  <c r="AK137" i="1"/>
  <c r="AJ138" i="1"/>
  <c r="AK138" i="1"/>
  <c r="AJ139" i="1"/>
  <c r="AK139" i="1"/>
  <c r="AJ140" i="1"/>
  <c r="AK140" i="1"/>
  <c r="AJ141" i="1"/>
  <c r="AK141" i="1"/>
  <c r="AJ142" i="1"/>
  <c r="AK142" i="1"/>
  <c r="AJ143" i="1"/>
  <c r="AK143" i="1"/>
  <c r="AJ144" i="1"/>
  <c r="AK144" i="1"/>
  <c r="AJ145" i="1"/>
  <c r="AK145" i="1"/>
  <c r="AJ146" i="1"/>
  <c r="AK146" i="1"/>
  <c r="AJ147" i="1"/>
  <c r="AK147" i="1"/>
  <c r="AJ148" i="1"/>
  <c r="AK148" i="1"/>
  <c r="AJ149" i="1"/>
  <c r="AK149" i="1"/>
  <c r="AJ150" i="1"/>
  <c r="AK150" i="1"/>
  <c r="AJ151" i="1"/>
  <c r="AK151" i="1"/>
  <c r="AJ152" i="1"/>
  <c r="AK152" i="1"/>
  <c r="AJ153" i="1"/>
  <c r="AK153" i="1"/>
  <c r="AJ154" i="1"/>
  <c r="AK154" i="1"/>
  <c r="AJ155" i="1"/>
  <c r="AK155" i="1"/>
  <c r="AJ156" i="1"/>
  <c r="AK156" i="1"/>
  <c r="AJ157" i="1"/>
  <c r="AK157" i="1"/>
  <c r="AJ158" i="1"/>
  <c r="AK158" i="1"/>
  <c r="AJ159" i="1"/>
  <c r="AK159" i="1"/>
  <c r="AJ160" i="1"/>
  <c r="AK160" i="1"/>
  <c r="AJ161" i="1"/>
  <c r="AK161" i="1"/>
  <c r="AJ162" i="1"/>
  <c r="AK162" i="1"/>
  <c r="AJ163" i="1"/>
  <c r="AK163" i="1"/>
  <c r="AJ164" i="1"/>
  <c r="AK164" i="1"/>
  <c r="AJ23" i="1"/>
  <c r="AK23" i="1"/>
  <c r="AJ24" i="1"/>
  <c r="AK24" i="1"/>
  <c r="AJ25" i="1"/>
  <c r="AK25" i="1"/>
  <c r="AJ27" i="1"/>
  <c r="AK27" i="1"/>
  <c r="AJ28" i="1"/>
  <c r="AK28" i="1"/>
  <c r="AJ22" i="1"/>
  <c r="AK22" i="1"/>
  <c r="Y28" i="1"/>
  <c r="AB31" i="1"/>
  <c r="AB35" i="1"/>
  <c r="AB27" i="1"/>
  <c r="AB23" i="1"/>
  <c r="AB22" i="1"/>
  <c r="W22" i="1"/>
  <c r="W23" i="1"/>
  <c r="W24" i="1"/>
  <c r="W25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" i="1"/>
  <c r="Y29" i="1"/>
  <c r="Y33" i="1"/>
  <c r="Y23" i="1"/>
  <c r="Y24" i="1"/>
  <c r="Y25" i="1"/>
  <c r="R22" i="1"/>
  <c r="O32" i="1"/>
  <c r="O28" i="1"/>
  <c r="O23" i="1"/>
  <c r="O22" i="1"/>
</calcChain>
</file>

<file path=xl/sharedStrings.xml><?xml version="1.0" encoding="utf-8"?>
<sst xmlns="http://schemas.openxmlformats.org/spreadsheetml/2006/main" count="115" uniqueCount="96">
  <si>
    <t>Melbourne</t>
  </si>
  <si>
    <t>Property total Return</t>
  </si>
  <si>
    <t>Australia - total return</t>
  </si>
  <si>
    <t>Price Index</t>
  </si>
  <si>
    <t>Total Return</t>
  </si>
  <si>
    <t>Inflation</t>
  </si>
  <si>
    <t>ASX Total Return</t>
  </si>
  <si>
    <t>Debt Capitalised</t>
  </si>
  <si>
    <t>Purchase Date</t>
  </si>
  <si>
    <t>Sale Date</t>
  </si>
  <si>
    <t>Property</t>
  </si>
  <si>
    <t>Property (Growth)</t>
  </si>
  <si>
    <t>Property (Income)</t>
  </si>
  <si>
    <t>Shares</t>
  </si>
  <si>
    <t>Debt</t>
  </si>
  <si>
    <t>Costs</t>
  </si>
  <si>
    <t>Days:</t>
  </si>
  <si>
    <t>Income</t>
  </si>
  <si>
    <t>Growth</t>
  </si>
  <si>
    <t>Interest Costs</t>
  </si>
  <si>
    <t>Assumptions</t>
  </si>
  <si>
    <t>Share benchmark ASX Total Return Index.  0.1% brokerage on purchase, 0.1% brokerage on sale, plus 0.33% p.a. allowance for management/administration</t>
  </si>
  <si>
    <t>Property.  Price benchmark based on Melbourne prices, Australian Bureau of Statistics.  Rental data sourced from RP and APM, current gross rent adjusted for changes in AWOTE.</t>
  </si>
  <si>
    <t>Property costs: allowance of 20% gross rent to pay agent fees and cover periods of vacancy.  Ongoing maintenance and insurance fees 1.5% p.a. Transaction costs of 5% at time of purchase, 3% at time of sale.</t>
  </si>
  <si>
    <t>Interest costs: capitalised cost of interest, based on Standard Variable interest rate (source: ABS and RBA).  Other costs set at 0.1% p.a., reflecting costs of Professional Package loan.</t>
  </si>
  <si>
    <t>http://www.econ.mq.edu.au/Econ_docs/research_papers2/2004_research_papers/Abelson_9_04.pdf</t>
  </si>
  <si>
    <t>Melbourne house prices-MQ research</t>
  </si>
  <si>
    <t>http://www.abs.gov.au/AUSSTATS/abs@.nsf/DetailsPage/6401.0Jun%202015?OpenDocument</t>
  </si>
  <si>
    <t>Rent</t>
  </si>
  <si>
    <t>Rent (Cum)</t>
  </si>
  <si>
    <t>Total Return (Cum)</t>
  </si>
  <si>
    <t>2002 onwards</t>
  </si>
  <si>
    <t>1970 to 2002</t>
  </si>
  <si>
    <t>http://www.rba.gov.au/statistics/tables/index.html#interest-rates</t>
  </si>
  <si>
    <t>Standard Variable Interest Rate</t>
  </si>
  <si>
    <t>Rental Yield (Gross)</t>
  </si>
  <si>
    <t>Prices</t>
  </si>
  <si>
    <t>Melbourne Residential Homes - Price</t>
  </si>
  <si>
    <t>Australian Shares - Total Return</t>
  </si>
  <si>
    <t>Property Costs</t>
  </si>
  <si>
    <t>Transaction fees on open:</t>
  </si>
  <si>
    <t>Transaction fees on close</t>
  </si>
  <si>
    <t>Agent fees (%Rent)</t>
  </si>
  <si>
    <t>Insurance (%gross property value)</t>
  </si>
  <si>
    <t>Maintenance (% home value)</t>
  </si>
  <si>
    <t>Council Levies &amp; Rates (%home value)</t>
  </si>
  <si>
    <t>Property (Total Return)</t>
  </si>
  <si>
    <t>Price cumulative (use this to calculate % based fees)</t>
  </si>
  <si>
    <t>Price Cumulative Open</t>
  </si>
  <si>
    <t>Price Cum Close</t>
  </si>
  <si>
    <t>**Total Ongoing (p.a.)</t>
  </si>
  <si>
    <t>Ongoing Fees</t>
  </si>
  <si>
    <t>Gross Rent (Cum)</t>
  </si>
  <si>
    <t>Agent Fees</t>
  </si>
  <si>
    <t>Transaction Fees</t>
  </si>
  <si>
    <t>Total Fees</t>
  </si>
  <si>
    <t xml:space="preserve"> </t>
  </si>
  <si>
    <t>Brokerage Costs (Purchase)</t>
  </si>
  <si>
    <t>Brokerage Costs (Sale)</t>
  </si>
  <si>
    <t>Ongoing Management</t>
  </si>
  <si>
    <t>Price Cum - Shares</t>
  </si>
  <si>
    <t>Price Cum Open</t>
  </si>
  <si>
    <t>Total Cost:</t>
  </si>
  <si>
    <t>Agent Fees (% Gross Rent)</t>
  </si>
  <si>
    <t>Vacancy Rate (%)</t>
  </si>
  <si>
    <t xml:space="preserve"> - Insurance</t>
  </si>
  <si>
    <t>Ongoing Fees (% p.a. Property Value):</t>
  </si>
  <si>
    <t xml:space="preserve"> - Maintenance</t>
  </si>
  <si>
    <t xml:space="preserve"> - Council Levies &amp; Rates</t>
  </si>
  <si>
    <t>Share Costs</t>
  </si>
  <si>
    <t>Brokerage on Purchase</t>
  </si>
  <si>
    <t>Brokerage on Sale</t>
  </si>
  <si>
    <t>Administration &amp; Management Fees (%p.a.)</t>
  </si>
  <si>
    <t>Loan Costs (% p.a.)</t>
  </si>
  <si>
    <t>Loan Costs &amp; Administration</t>
  </si>
  <si>
    <t>Loan Package Discounts (% p.a.)</t>
  </si>
  <si>
    <t>Total Return After Gearing</t>
  </si>
  <si>
    <t>ABS June 2015, Consumer Price Index, Australia</t>
  </si>
  <si>
    <t>All Ordinaries Total Return, Andex Charts Pty Ltd</t>
  </si>
  <si>
    <t>RBA Statistical Tables 2015, Standard Variable Interest Rates (Home Lending)</t>
  </si>
  <si>
    <t>Data Source</t>
  </si>
  <si>
    <t>RBA (2004) "Measuring Housing Prices", Reserve Bank of Australia Bulletin</t>
  </si>
  <si>
    <t>Abelson, Chung (2004) "Housing Prices in Australia 1970 to 2003", MQ</t>
  </si>
  <si>
    <t>Third Sector Advantage</t>
  </si>
  <si>
    <t xml:space="preserve">ABS 6416.0 March 2016, Residential Property Price Indexes </t>
  </si>
  <si>
    <t>Melbourne Home Prices (Nominal)</t>
  </si>
  <si>
    <t>Melbourne Residential Property - Investment Return (Net Fees)</t>
  </si>
  <si>
    <t>Interest Expenses (investment 100% financed)</t>
  </si>
  <si>
    <t>Property Fees - Insurance, Maintenance, Council (Cumulative)</t>
  </si>
  <si>
    <t>Interest Rate Paid</t>
  </si>
  <si>
    <t>Costs on Purchase (Inc. Stamp Duty)</t>
  </si>
  <si>
    <t>Costs on Sale</t>
  </si>
  <si>
    <t>Quarterly Returns</t>
  </si>
  <si>
    <t>Return</t>
  </si>
  <si>
    <t>&lt; -10%</t>
  </si>
  <si>
    <t>&gt;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</si>
</sst>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-;\-* #,##0.00_-;_-* &quot;-&quot;??_-;_-@_-"/>
    <numFmt numFmtId="165" formatCode="0.0%"/>
    <numFmt numFmtId="166" formatCode="_-* #,##0.0_-;\-* #,##0.0_-;_-* &quot;-&quot;??_-;_-@_-"/>
    <numFmt numFmtId="167" formatCode="0.0;\-0.0;0.0;@"/>
    <numFmt numFmtId="168" formatCode="_-* #,##0_-;\-* #,##0_-;_-* &quot;-&quot;??_-;_-@_-"/>
    <numFmt numFmtId="169" formatCode="_-* #,##0.0_-;\-* #,##0.0_-;_-* &quot;-&quot;?_-;_-@_-"/>
    <numFmt numFmtId="170" formatCode="_-* #,##0.0000_-;\-* #,##0.0000_-;_-* &quot;-&quot;??_-;_-@_-"/>
    <numFmt numFmtId="171" formatCode="0.000%"/>
    <numFmt numFmtId="172" formatCode="_-* #,##0.00000_-;\-* #,##0.00000_-;_-* &quot;-&quot;??_-;_-@_-"/>
    <numFmt numFmtId="174" formatCode="\-yy;@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Devanagari Sangam MN"/>
    </font>
    <font>
      <sz val="12"/>
      <color rgb="FF3F3F76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sz val="12"/>
      <color theme="1"/>
      <name val="Arial Narrow"/>
    </font>
    <font>
      <sz val="10"/>
      <color theme="1"/>
      <name val="Calibri"/>
      <scheme val="minor"/>
    </font>
    <font>
      <sz val="10"/>
      <color theme="1"/>
      <name val="Arial Narrow"/>
    </font>
    <font>
      <sz val="14"/>
      <color theme="3" tint="-0.249977111117893"/>
      <name val="Devanagari Sangam MN"/>
    </font>
    <font>
      <sz val="14"/>
      <color theme="1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sz val="14"/>
      <color rgb="FF91AEC5"/>
      <name val="Devanagari Sangam MN"/>
    </font>
    <font>
      <sz val="12"/>
      <color rgb="FF9C6500"/>
      <name val="Calibri"/>
      <family val="2"/>
      <scheme val="minor"/>
    </font>
    <font>
      <sz val="12"/>
      <name val="Calibri"/>
      <family val="2"/>
      <scheme val="minor"/>
    </font>
    <font>
      <sz val="12"/>
      <name val="Devanagari Sangam MN"/>
    </font>
    <font>
      <sz val="10"/>
      <name val="Devanagari Sangam MN"/>
    </font>
    <font>
      <b/>
      <sz val="11"/>
      <name val="Calibri"/>
      <family val="2"/>
      <scheme val="minor"/>
    </font>
    <font>
      <i/>
      <sz val="12"/>
      <name val="Calibri"/>
      <scheme val="minor"/>
    </font>
    <font>
      <sz val="8"/>
      <name val="Arial"/>
    </font>
    <font>
      <i/>
      <sz val="12"/>
      <name val="Devanagari Sangam MN"/>
    </font>
    <font>
      <sz val="9"/>
      <name val="Devanagari Sangam MN"/>
    </font>
    <font>
      <sz val="12"/>
      <color theme="0"/>
      <name val="Arial Narrow"/>
    </font>
    <font>
      <i/>
      <sz val="12"/>
      <color theme="0"/>
      <name val="Arial Narrow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FFD4"/>
        <bgColor indexed="64"/>
      </patternFill>
    </fill>
    <fill>
      <patternFill patternType="solid">
        <fgColor rgb="FFFFEB9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5" borderId="3" applyNumberFormat="0" applyAlignment="0" applyProtection="0"/>
    <xf numFmtId="0" fontId="1" fillId="6" borderId="4" applyNumberFormat="0" applyFont="0" applyAlignment="0" applyProtection="0"/>
    <xf numFmtId="0" fontId="1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26">
    <xf numFmtId="0" fontId="0" fillId="0" borderId="0" xfId="0"/>
    <xf numFmtId="15" fontId="3" fillId="2" borderId="2" xfId="0" applyNumberFormat="1" applyFont="1" applyFill="1" applyBorder="1" applyProtection="1">
      <protection locked="0"/>
    </xf>
    <xf numFmtId="10" fontId="0" fillId="18" borderId="11" xfId="1" applyNumberFormat="1" applyFont="1" applyFill="1" applyBorder="1" applyProtection="1">
      <protection locked="0"/>
    </xf>
    <xf numFmtId="10" fontId="0" fillId="18" borderId="11" xfId="0" applyNumberFormat="1" applyFill="1" applyBorder="1" applyProtection="1">
      <protection locked="0"/>
    </xf>
    <xf numFmtId="10" fontId="0" fillId="18" borderId="13" xfId="0" applyNumberFormat="1" applyFill="1" applyBorder="1" applyProtection="1">
      <protection locked="0"/>
    </xf>
    <xf numFmtId="0" fontId="0" fillId="3" borderId="0" xfId="0" applyFill="1" applyProtection="1">
      <protection hidden="1"/>
    </xf>
    <xf numFmtId="0" fontId="5" fillId="3" borderId="0" xfId="0" applyFont="1" applyFill="1" applyProtection="1">
      <protection hidden="1"/>
    </xf>
    <xf numFmtId="14" fontId="3" fillId="4" borderId="1" xfId="0" applyNumberFormat="1" applyFont="1" applyFill="1" applyBorder="1" applyProtection="1">
      <protection hidden="1"/>
    </xf>
    <xf numFmtId="14" fontId="0" fillId="3" borderId="0" xfId="0" applyNumberFormat="1" applyFill="1" applyProtection="1">
      <protection hidden="1"/>
    </xf>
    <xf numFmtId="0" fontId="11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12" fillId="3" borderId="0" xfId="22" applyFont="1" applyFill="1" applyProtection="1">
      <protection hidden="1"/>
    </xf>
    <xf numFmtId="0" fontId="13" fillId="3" borderId="0" xfId="0" applyFont="1" applyFill="1" applyProtection="1">
      <protection hidden="1"/>
    </xf>
    <xf numFmtId="0" fontId="15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16" fillId="3" borderId="0" xfId="22" applyFont="1" applyFill="1" applyProtection="1">
      <protection locked="0" hidden="1"/>
    </xf>
    <xf numFmtId="0" fontId="18" fillId="3" borderId="0" xfId="0" applyFont="1" applyFill="1" applyProtection="1">
      <protection hidden="1"/>
    </xf>
    <xf numFmtId="14" fontId="18" fillId="3" borderId="0" xfId="0" applyNumberFormat="1" applyFont="1" applyFill="1" applyProtection="1">
      <protection hidden="1"/>
    </xf>
    <xf numFmtId="10" fontId="18" fillId="3" borderId="0" xfId="1" applyNumberFormat="1" applyFont="1" applyFill="1" applyProtection="1">
      <protection hidden="1"/>
    </xf>
    <xf numFmtId="0" fontId="19" fillId="3" borderId="0" xfId="0" applyFont="1" applyFill="1" applyProtection="1">
      <protection hidden="1"/>
    </xf>
    <xf numFmtId="0" fontId="18" fillId="3" borderId="0" xfId="5" applyFont="1" applyFill="1" applyProtection="1">
      <protection hidden="1"/>
    </xf>
    <xf numFmtId="170" fontId="18" fillId="3" borderId="0" xfId="2" applyNumberFormat="1" applyFont="1" applyFill="1" applyProtection="1">
      <protection hidden="1"/>
    </xf>
    <xf numFmtId="0" fontId="18" fillId="7" borderId="0" xfId="5" applyFont="1" applyProtection="1">
      <protection hidden="1"/>
    </xf>
    <xf numFmtId="170" fontId="18" fillId="7" borderId="0" xfId="2" applyNumberFormat="1" applyFont="1" applyFill="1" applyProtection="1">
      <protection hidden="1"/>
    </xf>
    <xf numFmtId="164" fontId="19" fillId="3" borderId="0" xfId="2" applyFont="1" applyFill="1" applyProtection="1">
      <protection hidden="1"/>
    </xf>
    <xf numFmtId="164" fontId="19" fillId="3" borderId="0" xfId="0" applyNumberFormat="1" applyFont="1" applyFill="1" applyProtection="1">
      <protection hidden="1"/>
    </xf>
    <xf numFmtId="9" fontId="18" fillId="3" borderId="0" xfId="0" applyNumberFormat="1" applyFont="1" applyFill="1" applyProtection="1">
      <protection hidden="1"/>
    </xf>
    <xf numFmtId="10" fontId="18" fillId="3" borderId="0" xfId="0" applyNumberFormat="1" applyFont="1" applyFill="1" applyProtection="1">
      <protection hidden="1"/>
    </xf>
    <xf numFmtId="171" fontId="18" fillId="5" borderId="3" xfId="1" applyNumberFormat="1" applyFont="1" applyFill="1" applyBorder="1" applyProtection="1">
      <protection hidden="1"/>
    </xf>
    <xf numFmtId="172" fontId="18" fillId="5" borderId="3" xfId="2" applyNumberFormat="1" applyFont="1" applyFill="1" applyBorder="1" applyProtection="1">
      <protection hidden="1"/>
    </xf>
    <xf numFmtId="10" fontId="19" fillId="3" borderId="0" xfId="1" applyNumberFormat="1" applyFont="1" applyFill="1" applyProtection="1">
      <protection hidden="1"/>
    </xf>
    <xf numFmtId="0" fontId="18" fillId="15" borderId="0" xfId="0" applyFont="1" applyFill="1" applyProtection="1">
      <protection hidden="1"/>
    </xf>
    <xf numFmtId="9" fontId="18" fillId="15" borderId="0" xfId="0" applyNumberFormat="1" applyFont="1" applyFill="1" applyProtection="1">
      <protection hidden="1"/>
    </xf>
    <xf numFmtId="0" fontId="19" fillId="17" borderId="0" xfId="0" applyFont="1" applyFill="1" applyProtection="1">
      <protection hidden="1"/>
    </xf>
    <xf numFmtId="10" fontId="19" fillId="17" borderId="0" xfId="1" applyNumberFormat="1" applyFont="1" applyFill="1" applyProtection="1">
      <protection hidden="1"/>
    </xf>
    <xf numFmtId="0" fontId="18" fillId="14" borderId="0" xfId="0" applyFont="1" applyFill="1" applyProtection="1">
      <protection hidden="1"/>
    </xf>
    <xf numFmtId="10" fontId="18" fillId="14" borderId="0" xfId="0" applyNumberFormat="1" applyFont="1" applyFill="1" applyProtection="1">
      <protection hidden="1"/>
    </xf>
    <xf numFmtId="0" fontId="18" fillId="6" borderId="4" xfId="4" applyFont="1" applyProtection="1">
      <protection hidden="1"/>
    </xf>
    <xf numFmtId="170" fontId="18" fillId="6" borderId="4" xfId="2" applyNumberFormat="1" applyFont="1" applyFill="1" applyBorder="1" applyProtection="1">
      <protection hidden="1"/>
    </xf>
    <xf numFmtId="0" fontId="19" fillId="3" borderId="0" xfId="0" applyFont="1" applyFill="1" applyAlignment="1" applyProtection="1">
      <alignment horizontal="right"/>
      <protection hidden="1"/>
    </xf>
    <xf numFmtId="172" fontId="18" fillId="14" borderId="0" xfId="2" applyNumberFormat="1" applyFont="1" applyFill="1" applyProtection="1">
      <protection hidden="1"/>
    </xf>
    <xf numFmtId="164" fontId="18" fillId="6" borderId="4" xfId="4" applyNumberFormat="1" applyFont="1" applyProtection="1">
      <protection hidden="1"/>
    </xf>
    <xf numFmtId="165" fontId="19" fillId="3" borderId="0" xfId="1" applyNumberFormat="1" applyFont="1" applyFill="1" applyProtection="1">
      <protection hidden="1"/>
    </xf>
    <xf numFmtId="10" fontId="19" fillId="3" borderId="0" xfId="0" applyNumberFormat="1" applyFont="1" applyFill="1" applyProtection="1">
      <protection hidden="1"/>
    </xf>
    <xf numFmtId="165" fontId="19" fillId="3" borderId="0" xfId="0" applyNumberFormat="1" applyFont="1" applyFill="1" applyProtection="1">
      <protection hidden="1"/>
    </xf>
    <xf numFmtId="165" fontId="20" fillId="3" borderId="0" xfId="1" applyNumberFormat="1" applyFont="1" applyFill="1" applyProtection="1">
      <protection hidden="1"/>
    </xf>
    <xf numFmtId="168" fontId="18" fillId="3" borderId="0" xfId="2" applyNumberFormat="1" applyFont="1" applyFill="1" applyProtection="1">
      <protection hidden="1"/>
    </xf>
    <xf numFmtId="0" fontId="18" fillId="5" borderId="3" xfId="3" applyFont="1" applyProtection="1">
      <protection hidden="1"/>
    </xf>
    <xf numFmtId="168" fontId="18" fillId="3" borderId="5" xfId="2" applyNumberFormat="1" applyFont="1" applyFill="1" applyBorder="1" applyProtection="1">
      <protection hidden="1"/>
    </xf>
    <xf numFmtId="0" fontId="18" fillId="3" borderId="5" xfId="0" applyFont="1" applyFill="1" applyBorder="1" applyProtection="1">
      <protection hidden="1"/>
    </xf>
    <xf numFmtId="0" fontId="18" fillId="9" borderId="0" xfId="0" applyFont="1" applyFill="1" applyProtection="1">
      <protection hidden="1"/>
    </xf>
    <xf numFmtId="0" fontId="18" fillId="8" borderId="0" xfId="0" applyFont="1" applyFill="1" applyProtection="1">
      <protection hidden="1"/>
    </xf>
    <xf numFmtId="14" fontId="18" fillId="3" borderId="6" xfId="0" applyNumberFormat="1" applyFont="1" applyFill="1" applyBorder="1" applyProtection="1">
      <protection hidden="1"/>
    </xf>
    <xf numFmtId="0" fontId="18" fillId="3" borderId="6" xfId="0" applyFont="1" applyFill="1" applyBorder="1" applyProtection="1">
      <protection hidden="1"/>
    </xf>
    <xf numFmtId="0" fontId="18" fillId="12" borderId="0" xfId="0" applyFont="1" applyFill="1" applyProtection="1">
      <protection hidden="1"/>
    </xf>
    <xf numFmtId="10" fontId="21" fillId="3" borderId="0" xfId="1" applyNumberFormat="1" applyFont="1" applyFill="1" applyProtection="1">
      <protection hidden="1"/>
    </xf>
    <xf numFmtId="14" fontId="18" fillId="3" borderId="7" xfId="0" applyNumberFormat="1" applyFont="1" applyFill="1" applyBorder="1" applyProtection="1">
      <protection hidden="1"/>
    </xf>
    <xf numFmtId="0" fontId="18" fillId="3" borderId="7" xfId="0" applyFont="1" applyFill="1" applyBorder="1" applyAlignment="1" applyProtection="1">
      <alignment wrapText="1"/>
      <protection hidden="1"/>
    </xf>
    <xf numFmtId="166" fontId="18" fillId="3" borderId="0" xfId="2" applyNumberFormat="1" applyFont="1" applyFill="1" applyProtection="1">
      <protection hidden="1"/>
    </xf>
    <xf numFmtId="164" fontId="22" fillId="3" borderId="0" xfId="2" applyFont="1" applyFill="1" applyProtection="1">
      <protection hidden="1"/>
    </xf>
    <xf numFmtId="164" fontId="18" fillId="3" borderId="0" xfId="2" applyFont="1" applyFill="1" applyProtection="1">
      <protection hidden="1"/>
    </xf>
    <xf numFmtId="164" fontId="18" fillId="9" borderId="0" xfId="2" applyFont="1" applyFill="1" applyProtection="1">
      <protection hidden="1"/>
    </xf>
    <xf numFmtId="167" fontId="23" fillId="0" borderId="0" xfId="0" applyNumberFormat="1" applyFont="1" applyAlignment="1" applyProtection="1">
      <protection hidden="1"/>
    </xf>
    <xf numFmtId="166" fontId="18" fillId="2" borderId="0" xfId="2" applyNumberFormat="1" applyFont="1" applyFill="1" applyProtection="1">
      <protection hidden="1"/>
    </xf>
    <xf numFmtId="10" fontId="18" fillId="12" borderId="0" xfId="1" applyNumberFormat="1" applyFont="1" applyFill="1" applyProtection="1">
      <protection hidden="1"/>
    </xf>
    <xf numFmtId="166" fontId="19" fillId="3" borderId="0" xfId="2" applyNumberFormat="1" applyFont="1" applyFill="1" applyAlignment="1" applyProtection="1">
      <alignment horizontal="right"/>
      <protection hidden="1"/>
    </xf>
    <xf numFmtId="166" fontId="19" fillId="3" borderId="0" xfId="2" applyNumberFormat="1" applyFont="1" applyFill="1" applyProtection="1">
      <protection hidden="1"/>
    </xf>
    <xf numFmtId="166" fontId="19" fillId="3" borderId="0" xfId="0" applyNumberFormat="1" applyFont="1" applyFill="1" applyProtection="1">
      <protection hidden="1"/>
    </xf>
    <xf numFmtId="166" fontId="18" fillId="3" borderId="0" xfId="0" applyNumberFormat="1" applyFont="1" applyFill="1" applyProtection="1">
      <protection hidden="1"/>
    </xf>
    <xf numFmtId="10" fontId="18" fillId="12" borderId="0" xfId="0" applyNumberFormat="1" applyFont="1" applyFill="1" applyProtection="1">
      <protection hidden="1"/>
    </xf>
    <xf numFmtId="169" fontId="24" fillId="3" borderId="0" xfId="0" applyNumberFormat="1" applyFont="1" applyFill="1" applyProtection="1">
      <protection hidden="1"/>
    </xf>
    <xf numFmtId="166" fontId="18" fillId="10" borderId="0" xfId="0" applyNumberFormat="1" applyFont="1" applyFill="1" applyProtection="1">
      <protection hidden="1"/>
    </xf>
    <xf numFmtId="10" fontId="18" fillId="13" borderId="0" xfId="0" applyNumberFormat="1" applyFont="1" applyFill="1" applyProtection="1">
      <protection hidden="1"/>
    </xf>
    <xf numFmtId="169" fontId="19" fillId="2" borderId="0" xfId="0" applyNumberFormat="1" applyFont="1" applyFill="1" applyProtection="1">
      <protection hidden="1"/>
    </xf>
    <xf numFmtId="0" fontId="18" fillId="11" borderId="0" xfId="0" applyFont="1" applyFill="1" applyProtection="1">
      <protection hidden="1"/>
    </xf>
    <xf numFmtId="10" fontId="18" fillId="10" borderId="0" xfId="1" applyNumberFormat="1" applyFont="1" applyFill="1" applyProtection="1">
      <protection hidden="1"/>
    </xf>
    <xf numFmtId="10" fontId="18" fillId="11" borderId="0" xfId="1" applyNumberFormat="1" applyFont="1" applyFill="1" applyProtection="1">
      <protection hidden="1"/>
    </xf>
    <xf numFmtId="0" fontId="19" fillId="2" borderId="0" xfId="0" applyFont="1" applyFill="1" applyProtection="1">
      <protection hidden="1"/>
    </xf>
    <xf numFmtId="0" fontId="18" fillId="2" borderId="0" xfId="0" applyFont="1" applyFill="1" applyProtection="1">
      <protection hidden="1"/>
    </xf>
    <xf numFmtId="0" fontId="25" fillId="2" borderId="0" xfId="0" applyFont="1" applyFill="1" applyProtection="1">
      <protection hidden="1"/>
    </xf>
    <xf numFmtId="14" fontId="18" fillId="5" borderId="3" xfId="3" applyNumberFormat="1" applyFont="1" applyAlignment="1" applyProtection="1">
      <alignment wrapText="1"/>
      <protection hidden="1"/>
    </xf>
    <xf numFmtId="174" fontId="18" fillId="3" borderId="0" xfId="0" applyNumberFormat="1" applyFont="1" applyFill="1" applyProtection="1">
      <protection hidden="1"/>
    </xf>
    <xf numFmtId="171" fontId="18" fillId="2" borderId="0" xfId="1" applyNumberFormat="1" applyFont="1" applyFill="1" applyProtection="1">
      <protection hidden="1"/>
    </xf>
    <xf numFmtId="0" fontId="0" fillId="9" borderId="10" xfId="0" applyFill="1" applyBorder="1" applyProtection="1">
      <protection hidden="1"/>
    </xf>
    <xf numFmtId="0" fontId="9" fillId="9" borderId="12" xfId="0" applyFont="1" applyFill="1" applyBorder="1" applyProtection="1">
      <protection hidden="1"/>
    </xf>
    <xf numFmtId="0" fontId="17" fillId="19" borderId="7" xfId="23" applyBorder="1" applyAlignment="1" applyProtection="1">
      <alignment wrapText="1"/>
      <protection hidden="1"/>
    </xf>
    <xf numFmtId="9" fontId="18" fillId="3" borderId="0" xfId="1" applyFont="1" applyFill="1" applyProtection="1">
      <protection hidden="1"/>
    </xf>
    <xf numFmtId="9" fontId="18" fillId="9" borderId="0" xfId="0" applyNumberFormat="1" applyFont="1" applyFill="1" applyProtection="1">
      <protection hidden="1"/>
    </xf>
    <xf numFmtId="0" fontId="5" fillId="16" borderId="8" xfId="0" applyFont="1" applyFill="1" applyBorder="1" applyProtection="1">
      <protection hidden="1"/>
    </xf>
    <xf numFmtId="0" fontId="5" fillId="16" borderId="9" xfId="0" applyFont="1" applyFill="1" applyBorder="1" applyProtection="1">
      <protection hidden="1"/>
    </xf>
    <xf numFmtId="0" fontId="5" fillId="3" borderId="0" xfId="0" applyFont="1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18" fillId="3" borderId="0" xfId="0" applyFont="1" applyFill="1" applyBorder="1" applyProtection="1">
      <protection hidden="1"/>
    </xf>
    <xf numFmtId="14" fontId="18" fillId="3" borderId="0" xfId="0" applyNumberFormat="1" applyFont="1" applyFill="1" applyBorder="1" applyProtection="1">
      <protection hidden="1"/>
    </xf>
    <xf numFmtId="10" fontId="18" fillId="3" borderId="0" xfId="1" applyNumberFormat="1" applyFont="1" applyFill="1" applyBorder="1" applyProtection="1">
      <protection hidden="1"/>
    </xf>
    <xf numFmtId="0" fontId="19" fillId="3" borderId="0" xfId="0" applyFont="1" applyFill="1" applyBorder="1" applyAlignment="1" applyProtection="1">
      <alignment horizontal="right"/>
      <protection hidden="1"/>
    </xf>
    <xf numFmtId="0" fontId="19" fillId="3" borderId="0" xfId="0" applyFont="1" applyFill="1" applyBorder="1" applyProtection="1">
      <protection hidden="1"/>
    </xf>
    <xf numFmtId="10" fontId="18" fillId="3" borderId="0" xfId="0" applyNumberFormat="1" applyFont="1" applyFill="1" applyBorder="1" applyProtection="1">
      <protection hidden="1"/>
    </xf>
    <xf numFmtId="0" fontId="9" fillId="3" borderId="0" xfId="0" applyFont="1" applyFill="1" applyBorder="1" applyProtection="1">
      <protection hidden="1"/>
    </xf>
    <xf numFmtId="10" fontId="0" fillId="3" borderId="0" xfId="0" applyNumberFormat="1" applyFill="1" applyBorder="1" applyProtection="1">
      <protection locked="0"/>
    </xf>
    <xf numFmtId="166" fontId="18" fillId="3" borderId="0" xfId="0" applyNumberFormat="1" applyFont="1" applyFill="1" applyBorder="1" applyProtection="1">
      <protection hidden="1"/>
    </xf>
    <xf numFmtId="164" fontId="22" fillId="3" borderId="0" xfId="2" applyFont="1" applyFill="1" applyBorder="1" applyProtection="1">
      <protection hidden="1"/>
    </xf>
    <xf numFmtId="164" fontId="18" fillId="3" borderId="0" xfId="2" applyFont="1" applyFill="1" applyBorder="1" applyProtection="1">
      <protection hidden="1"/>
    </xf>
    <xf numFmtId="167" fontId="23" fillId="3" borderId="0" xfId="0" applyNumberFormat="1" applyFont="1" applyFill="1" applyBorder="1" applyAlignment="1" applyProtection="1">
      <protection hidden="1"/>
    </xf>
    <xf numFmtId="166" fontId="18" fillId="3" borderId="0" xfId="2" applyNumberFormat="1" applyFont="1" applyFill="1" applyBorder="1" applyProtection="1">
      <protection hidden="1"/>
    </xf>
    <xf numFmtId="171" fontId="18" fillId="3" borderId="0" xfId="1" applyNumberFormat="1" applyFont="1" applyFill="1" applyBorder="1" applyProtection="1">
      <protection hidden="1"/>
    </xf>
    <xf numFmtId="166" fontId="19" fillId="3" borderId="0" xfId="2" applyNumberFormat="1" applyFont="1" applyFill="1" applyBorder="1" applyAlignment="1" applyProtection="1">
      <alignment horizontal="right"/>
      <protection hidden="1"/>
    </xf>
    <xf numFmtId="166" fontId="19" fillId="3" borderId="0" xfId="2" applyNumberFormat="1" applyFont="1" applyFill="1" applyBorder="1" applyProtection="1">
      <protection hidden="1"/>
    </xf>
    <xf numFmtId="164" fontId="19" fillId="3" borderId="0" xfId="2" applyFont="1" applyFill="1" applyBorder="1" applyProtection="1">
      <protection hidden="1"/>
    </xf>
    <xf numFmtId="169" fontId="19" fillId="3" borderId="0" xfId="0" applyNumberFormat="1" applyFont="1" applyFill="1" applyBorder="1" applyProtection="1">
      <protection hidden="1"/>
    </xf>
    <xf numFmtId="9" fontId="18" fillId="3" borderId="0" xfId="1" applyFont="1" applyFill="1" applyBorder="1" applyProtection="1">
      <protection hidden="1"/>
    </xf>
    <xf numFmtId="10" fontId="0" fillId="3" borderId="0" xfId="1" applyNumberFormat="1" applyFont="1" applyFill="1" applyBorder="1" applyProtection="1">
      <protection locked="0"/>
    </xf>
    <xf numFmtId="166" fontId="19" fillId="3" borderId="0" xfId="0" applyNumberFormat="1" applyFont="1" applyFill="1" applyBorder="1" applyProtection="1">
      <protection hidden="1"/>
    </xf>
    <xf numFmtId="10" fontId="0" fillId="18" borderId="13" xfId="1" applyNumberFormat="1" applyFont="1" applyFill="1" applyBorder="1" applyProtection="1">
      <protection locked="0"/>
    </xf>
    <xf numFmtId="0" fontId="5" fillId="20" borderId="8" xfId="0" applyFont="1" applyFill="1" applyBorder="1" applyProtection="1">
      <protection hidden="1"/>
    </xf>
    <xf numFmtId="10" fontId="5" fillId="20" borderId="9" xfId="1" applyNumberFormat="1" applyFont="1" applyFill="1" applyBorder="1" applyProtection="1">
      <protection hidden="1"/>
    </xf>
    <xf numFmtId="0" fontId="0" fillId="21" borderId="8" xfId="0" applyFill="1" applyBorder="1" applyProtection="1">
      <protection hidden="1"/>
    </xf>
    <xf numFmtId="0" fontId="0" fillId="21" borderId="9" xfId="0" applyFill="1" applyBorder="1" applyProtection="1">
      <protection hidden="1"/>
    </xf>
    <xf numFmtId="0" fontId="26" fillId="22" borderId="10" xfId="0" applyFont="1" applyFill="1" applyBorder="1" applyProtection="1">
      <protection hidden="1"/>
    </xf>
    <xf numFmtId="0" fontId="26" fillId="22" borderId="12" xfId="0" applyFont="1" applyFill="1" applyBorder="1" applyProtection="1">
      <protection hidden="1"/>
    </xf>
    <xf numFmtId="0" fontId="5" fillId="23" borderId="8" xfId="0" applyFont="1" applyFill="1" applyBorder="1" applyProtection="1">
      <protection hidden="1"/>
    </xf>
    <xf numFmtId="0" fontId="5" fillId="23" borderId="9" xfId="0" applyFont="1" applyFill="1" applyBorder="1" applyProtection="1">
      <protection hidden="1"/>
    </xf>
    <xf numFmtId="0" fontId="27" fillId="23" borderId="10" xfId="0" applyFont="1" applyFill="1" applyBorder="1" applyProtection="1">
      <protection hidden="1"/>
    </xf>
    <xf numFmtId="10" fontId="8" fillId="23" borderId="11" xfId="1" applyNumberFormat="1" applyFont="1" applyFill="1" applyBorder="1" applyProtection="1">
      <protection hidden="1"/>
    </xf>
    <xf numFmtId="0" fontId="9" fillId="24" borderId="10" xfId="0" applyFont="1" applyFill="1" applyBorder="1" applyProtection="1">
      <protection hidden="1"/>
    </xf>
    <xf numFmtId="0" fontId="9" fillId="24" borderId="12" xfId="0" applyFont="1" applyFill="1" applyBorder="1" applyProtection="1">
      <protection hidden="1"/>
    </xf>
  </cellXfs>
  <cellStyles count="25">
    <cellStyle name="20% - Accent1" xfId="5" builtinId="30"/>
    <cellStyle name="Comma" xfId="2" builtinId="3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4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/>
    <cellStyle name="Input" xfId="3" builtinId="20"/>
    <cellStyle name="Neutral" xfId="23" builtinId="28"/>
    <cellStyle name="Normal" xfId="0" builtinId="0"/>
    <cellStyle name="Note" xfId="4" builtinId="10"/>
    <cellStyle name="Percent" xfId="1" builtinId="5"/>
  </cellStyles>
  <dxfs count="0"/>
  <tableStyles count="0" defaultTableStyle="TableStyleMedium9" defaultPivotStyle="PivotStyleMedium4"/>
  <colors>
    <mruColors>
      <color rgb="FFFCFCFC"/>
      <color rgb="FF94FDBB"/>
      <color rgb="FFDCF2EF"/>
      <color rgb="FF62FD32"/>
      <color rgb="FFFFFFD2"/>
      <color rgb="FFCEF4C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Simulated Pre-Tax Return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454971054150146"/>
          <c:y val="0.090933014354067"/>
          <c:w val="0.923689897805327"/>
          <c:h val="0.8295622197942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Sheet1!$AI$10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Sheet1!$AG$12:$AG$15</c:f>
              <c:strCache>
                <c:ptCount val="4"/>
                <c:pt idx="0">
                  <c:v>Property</c:v>
                </c:pt>
                <c:pt idx="1">
                  <c:v>Shares</c:v>
                </c:pt>
                <c:pt idx="2">
                  <c:v>Inflation</c:v>
                </c:pt>
                <c:pt idx="3">
                  <c:v>Interest Costs</c:v>
                </c:pt>
              </c:strCache>
            </c:strRef>
          </c:cat>
          <c:val>
            <c:numRef>
              <c:f>Sheet1!$AI$12:$AI$15</c:f>
              <c:numCache>
                <c:formatCode>0.0%</c:formatCode>
                <c:ptCount val="4"/>
                <c:pt idx="0">
                  <c:v>0.0823286062064415</c:v>
                </c:pt>
                <c:pt idx="1">
                  <c:v>0.128124321170171</c:v>
                </c:pt>
              </c:numCache>
            </c:numRef>
          </c:val>
        </c:ser>
        <c:ser>
          <c:idx val="1"/>
          <c:order val="1"/>
          <c:tx>
            <c:strRef>
              <c:f>Sheet1!$AJ$10</c:f>
              <c:strCache>
                <c:ptCount val="1"/>
                <c:pt idx="0">
                  <c:v>Growth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6350" cmpd="sng">
              <a:solidFill>
                <a:srgbClr val="000000"/>
              </a:solidFill>
            </a:ln>
          </c:spPr>
          <c:invertIfNegative val="0"/>
          <c:cat>
            <c:strRef>
              <c:f>Sheet1!$AG$12:$AG$15</c:f>
              <c:strCache>
                <c:ptCount val="4"/>
                <c:pt idx="0">
                  <c:v>Property</c:v>
                </c:pt>
                <c:pt idx="1">
                  <c:v>Shares</c:v>
                </c:pt>
                <c:pt idx="2">
                  <c:v>Inflation</c:v>
                </c:pt>
                <c:pt idx="3">
                  <c:v>Interest Costs</c:v>
                </c:pt>
              </c:strCache>
            </c:strRef>
          </c:cat>
          <c:val>
            <c:numRef>
              <c:f>Sheet1!$AJ$12:$AJ$15</c:f>
              <c:numCache>
                <c:formatCode>0.0%</c:formatCode>
                <c:ptCount val="4"/>
                <c:pt idx="0">
                  <c:v>0.908450704225352</c:v>
                </c:pt>
                <c:pt idx="1">
                  <c:v>-0.38720462773465</c:v>
                </c:pt>
                <c:pt idx="2">
                  <c:v>0.373831775700935</c:v>
                </c:pt>
              </c:numCache>
            </c:numRef>
          </c:val>
        </c:ser>
        <c:ser>
          <c:idx val="2"/>
          <c:order val="2"/>
          <c:tx>
            <c:strRef>
              <c:f>Sheet1!$AK$10</c:f>
              <c:strCache>
                <c:ptCount val="1"/>
                <c:pt idx="0">
                  <c:v>Costs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Sheet1!$AG$12:$AG$15</c:f>
              <c:strCache>
                <c:ptCount val="4"/>
                <c:pt idx="0">
                  <c:v>Property</c:v>
                </c:pt>
                <c:pt idx="1">
                  <c:v>Shares</c:v>
                </c:pt>
                <c:pt idx="2">
                  <c:v>Inflation</c:v>
                </c:pt>
                <c:pt idx="3">
                  <c:v>Interest Costs</c:v>
                </c:pt>
              </c:strCache>
            </c:strRef>
          </c:cat>
          <c:val>
            <c:numRef>
              <c:f>Sheet1!$AK$12:$AK$15</c:f>
              <c:numCache>
                <c:formatCode>0.00%</c:formatCode>
                <c:ptCount val="4"/>
                <c:pt idx="0">
                  <c:v>-0.31077714235247</c:v>
                </c:pt>
                <c:pt idx="1">
                  <c:v>-0.0199576024718351</c:v>
                </c:pt>
                <c:pt idx="3">
                  <c:v>-0.230183947309475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039820872"/>
        <c:axId val="-2039817640"/>
      </c:barChart>
      <c:scatterChart>
        <c:scatterStyle val="lineMarker"/>
        <c:varyColors val="0"/>
        <c:ser>
          <c:idx val="3"/>
          <c:order val="3"/>
          <c:tx>
            <c:strRef>
              <c:f>Sheet1!$AL$10</c:f>
              <c:strCache>
                <c:ptCount val="1"/>
                <c:pt idx="0">
                  <c:v>Total Return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4"/>
            <c:spPr>
              <a:solidFill>
                <a:srgbClr val="62FD32"/>
              </a:solidFill>
            </c:spPr>
          </c:marker>
          <c:dLbls>
            <c:numFmt formatCode="0%" sourceLinked="0"/>
            <c:spPr>
              <a:solidFill>
                <a:schemeClr val="bg1">
                  <a:alpha val="59000"/>
                </a:schemeClr>
              </a:solidFill>
            </c:spPr>
            <c:txPr>
              <a:bodyPr/>
              <a:lstStyle/>
              <a:p>
                <a:pPr>
                  <a:defRPr sz="16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Sheet1!$AG$12:$AG$15</c:f>
              <c:strCache>
                <c:ptCount val="4"/>
                <c:pt idx="0">
                  <c:v>Property</c:v>
                </c:pt>
                <c:pt idx="1">
                  <c:v>Shares</c:v>
                </c:pt>
                <c:pt idx="2">
                  <c:v>Inflation</c:v>
                </c:pt>
                <c:pt idx="3">
                  <c:v>Interest Costs</c:v>
                </c:pt>
              </c:strCache>
            </c:strRef>
          </c:xVal>
          <c:yVal>
            <c:numRef>
              <c:f>Sheet1!$AL$12:$AL$15</c:f>
              <c:numCache>
                <c:formatCode>0.0%</c:formatCode>
                <c:ptCount val="4"/>
                <c:pt idx="0">
                  <c:v>0.680002168079324</c:v>
                </c:pt>
                <c:pt idx="1">
                  <c:v>-0.279037909036314</c:v>
                </c:pt>
                <c:pt idx="2">
                  <c:v>0.373831775700935</c:v>
                </c:pt>
                <c:pt idx="3">
                  <c:v>-0.230183947309475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Sheet1!$AM$10</c:f>
              <c:strCache>
                <c:ptCount val="1"/>
                <c:pt idx="0">
                  <c:v>Total Return After Gearing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2"/>
            <c:spPr>
              <a:solidFill>
                <a:srgbClr val="3366FF"/>
              </a:solidFill>
            </c:spPr>
          </c:marker>
          <c:dLbls>
            <c:numFmt formatCode="0%" sourceLinked="0"/>
            <c:spPr>
              <a:solidFill>
                <a:srgbClr val="DCF2EF">
                  <a:alpha val="69000"/>
                </a:srgbClr>
              </a:solidFill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strRef>
              <c:f>Sheet1!$AG$12:$AG$15</c:f>
              <c:strCache>
                <c:ptCount val="4"/>
                <c:pt idx="0">
                  <c:v>Property</c:v>
                </c:pt>
                <c:pt idx="1">
                  <c:v>Shares</c:v>
                </c:pt>
                <c:pt idx="2">
                  <c:v>Inflation</c:v>
                </c:pt>
                <c:pt idx="3">
                  <c:v>Interest Costs</c:v>
                </c:pt>
              </c:strCache>
            </c:strRef>
          </c:xVal>
          <c:yVal>
            <c:numRef>
              <c:f>Sheet1!$AM$12:$AM$15</c:f>
              <c:numCache>
                <c:formatCode>0.00%</c:formatCode>
                <c:ptCount val="4"/>
                <c:pt idx="0">
                  <c:v>0.449818220769849</c:v>
                </c:pt>
                <c:pt idx="1">
                  <c:v>-0.509221856345789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9820872"/>
        <c:axId val="-2039817640"/>
      </c:scatterChart>
      <c:catAx>
        <c:axId val="-2039820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solidFill>
            <a:srgbClr val="FFFFD2">
              <a:alpha val="48000"/>
            </a:srgbClr>
          </a:solidFill>
        </c:spPr>
        <c:txPr>
          <a:bodyPr/>
          <a:lstStyle/>
          <a:p>
            <a:pPr>
              <a:defRPr sz="1400"/>
            </a:pPr>
            <a:endParaRPr lang="en-US"/>
          </a:p>
        </c:txPr>
        <c:crossAx val="-2039817640"/>
        <c:crosses val="autoZero"/>
        <c:auto val="1"/>
        <c:lblAlgn val="ctr"/>
        <c:lblOffset val="100"/>
        <c:noMultiLvlLbl val="0"/>
      </c:catAx>
      <c:valAx>
        <c:axId val="-2039817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9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-2039820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2112166624333"/>
          <c:y val="0.0626422276685613"/>
          <c:w val="0.218012957952194"/>
          <c:h val="0.300910654749237"/>
        </c:manualLayout>
      </c:layout>
      <c:overlay val="0"/>
      <c:spPr>
        <a:solidFill>
          <a:srgbClr val="FCFCFC"/>
        </a:solidFill>
      </c:spPr>
      <c:txPr>
        <a:bodyPr/>
        <a:lstStyle/>
        <a:p>
          <a:pPr>
            <a:defRPr sz="1400"/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1100">
          <a:latin typeface="Devanagari Sangam MN"/>
          <a:cs typeface="Devanagari Sangam M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rgbClr val="10253F"/>
                </a:solidFill>
              </a:defRPr>
            </a:pPr>
            <a:r>
              <a:rPr lang="en-US">
                <a:solidFill>
                  <a:srgbClr val="10253F"/>
                </a:solidFill>
              </a:rPr>
              <a:t>Melbourne Residential Property,</a:t>
            </a:r>
            <a:r>
              <a:rPr lang="en-US" baseline="0">
                <a:solidFill>
                  <a:srgbClr val="10253F"/>
                </a:solidFill>
              </a:rPr>
              <a:t> Prices Since 1970</a:t>
            </a:r>
            <a:endParaRPr lang="en-US">
              <a:solidFill>
                <a:srgbClr val="10253F"/>
              </a:solidFill>
            </a:endParaRPr>
          </a:p>
        </c:rich>
      </c:tx>
      <c:layout>
        <c:manualLayout>
          <c:xMode val="edge"/>
          <c:yMode val="edge"/>
          <c:x val="0.414352420764338"/>
          <c:y val="0.0080197130940580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682421854035529"/>
          <c:y val="0.0702649323530691"/>
          <c:w val="0.903751116162026"/>
          <c:h val="0.83050043380752"/>
        </c:manualLayout>
      </c:layout>
      <c:lineChart>
        <c:grouping val="standard"/>
        <c:varyColors val="0"/>
        <c:ser>
          <c:idx val="0"/>
          <c:order val="0"/>
          <c:tx>
            <c:v>Home Prices (Melbourne)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Sheet1!$AE$20:$AE$206</c:f>
              <c:numCache>
                <c:formatCode>m/d/yy</c:formatCode>
                <c:ptCount val="187"/>
                <c:pt idx="0">
                  <c:v>25628.0</c:v>
                </c:pt>
                <c:pt idx="2">
                  <c:v>25720.0</c:v>
                </c:pt>
                <c:pt idx="3">
                  <c:v>25812.0</c:v>
                </c:pt>
                <c:pt idx="4">
                  <c:v>25903.0</c:v>
                </c:pt>
                <c:pt idx="5">
                  <c:v>25993.0</c:v>
                </c:pt>
                <c:pt idx="7">
                  <c:v>26085.0</c:v>
                </c:pt>
                <c:pt idx="8">
                  <c:v>26177.0</c:v>
                </c:pt>
                <c:pt idx="9">
                  <c:v>26268.0</c:v>
                </c:pt>
                <c:pt idx="10">
                  <c:v>26359.0</c:v>
                </c:pt>
                <c:pt idx="11">
                  <c:v>26451.0</c:v>
                </c:pt>
                <c:pt idx="12">
                  <c:v>26543.0</c:v>
                </c:pt>
                <c:pt idx="13">
                  <c:v>26634.0</c:v>
                </c:pt>
                <c:pt idx="14">
                  <c:v>26724.0</c:v>
                </c:pt>
                <c:pt idx="15">
                  <c:v>26816.0</c:v>
                </c:pt>
                <c:pt idx="16">
                  <c:v>26908.0</c:v>
                </c:pt>
                <c:pt idx="17">
                  <c:v>26999.0</c:v>
                </c:pt>
                <c:pt idx="18">
                  <c:v>27089.0</c:v>
                </c:pt>
                <c:pt idx="19">
                  <c:v>27181.0</c:v>
                </c:pt>
                <c:pt idx="20">
                  <c:v>27273.0</c:v>
                </c:pt>
                <c:pt idx="21">
                  <c:v>27364.0</c:v>
                </c:pt>
                <c:pt idx="22">
                  <c:v>27454.0</c:v>
                </c:pt>
                <c:pt idx="23">
                  <c:v>27546.0</c:v>
                </c:pt>
                <c:pt idx="24">
                  <c:v>27638.0</c:v>
                </c:pt>
                <c:pt idx="25">
                  <c:v>27729.0</c:v>
                </c:pt>
                <c:pt idx="26">
                  <c:v>27820.0</c:v>
                </c:pt>
                <c:pt idx="27">
                  <c:v>27912.0</c:v>
                </c:pt>
                <c:pt idx="28">
                  <c:v>28004.0</c:v>
                </c:pt>
                <c:pt idx="29">
                  <c:v>28095.0</c:v>
                </c:pt>
                <c:pt idx="30">
                  <c:v>28185.0</c:v>
                </c:pt>
                <c:pt idx="31">
                  <c:v>28277.0</c:v>
                </c:pt>
                <c:pt idx="32">
                  <c:v>28369.0</c:v>
                </c:pt>
                <c:pt idx="33">
                  <c:v>28460.0</c:v>
                </c:pt>
                <c:pt idx="34">
                  <c:v>28550.0</c:v>
                </c:pt>
                <c:pt idx="35">
                  <c:v>28642.0</c:v>
                </c:pt>
                <c:pt idx="36">
                  <c:v>28734.0</c:v>
                </c:pt>
                <c:pt idx="37">
                  <c:v>28825.0</c:v>
                </c:pt>
                <c:pt idx="38">
                  <c:v>28915.0</c:v>
                </c:pt>
                <c:pt idx="39">
                  <c:v>29007.0</c:v>
                </c:pt>
                <c:pt idx="40">
                  <c:v>29099.0</c:v>
                </c:pt>
                <c:pt idx="41">
                  <c:v>29190.0</c:v>
                </c:pt>
                <c:pt idx="42">
                  <c:v>29281.0</c:v>
                </c:pt>
                <c:pt idx="43">
                  <c:v>29373.0</c:v>
                </c:pt>
                <c:pt idx="44">
                  <c:v>29465.0</c:v>
                </c:pt>
                <c:pt idx="45">
                  <c:v>29556.0</c:v>
                </c:pt>
                <c:pt idx="46">
                  <c:v>29646.0</c:v>
                </c:pt>
                <c:pt idx="47">
                  <c:v>29738.0</c:v>
                </c:pt>
                <c:pt idx="48">
                  <c:v>29830.0</c:v>
                </c:pt>
                <c:pt idx="49">
                  <c:v>29921.0</c:v>
                </c:pt>
                <c:pt idx="50">
                  <c:v>30011.0</c:v>
                </c:pt>
                <c:pt idx="51">
                  <c:v>30103.0</c:v>
                </c:pt>
                <c:pt idx="52">
                  <c:v>30195.0</c:v>
                </c:pt>
                <c:pt idx="53">
                  <c:v>30286.0</c:v>
                </c:pt>
                <c:pt idx="54">
                  <c:v>30376.0</c:v>
                </c:pt>
                <c:pt idx="55">
                  <c:v>30468.0</c:v>
                </c:pt>
                <c:pt idx="56">
                  <c:v>30560.0</c:v>
                </c:pt>
                <c:pt idx="57">
                  <c:v>30651.0</c:v>
                </c:pt>
                <c:pt idx="58">
                  <c:v>30742.0</c:v>
                </c:pt>
                <c:pt idx="59">
                  <c:v>30834.0</c:v>
                </c:pt>
                <c:pt idx="60">
                  <c:v>30926.0</c:v>
                </c:pt>
                <c:pt idx="61">
                  <c:v>31017.0</c:v>
                </c:pt>
                <c:pt idx="62">
                  <c:v>31107.0</c:v>
                </c:pt>
                <c:pt idx="63">
                  <c:v>31199.0</c:v>
                </c:pt>
                <c:pt idx="64">
                  <c:v>31291.0</c:v>
                </c:pt>
                <c:pt idx="65">
                  <c:v>31382.0</c:v>
                </c:pt>
                <c:pt idx="66">
                  <c:v>31472.0</c:v>
                </c:pt>
                <c:pt idx="67">
                  <c:v>31564.0</c:v>
                </c:pt>
                <c:pt idx="68">
                  <c:v>31656.0</c:v>
                </c:pt>
                <c:pt idx="69">
                  <c:v>31747.0</c:v>
                </c:pt>
                <c:pt idx="70">
                  <c:v>31837.0</c:v>
                </c:pt>
                <c:pt idx="71">
                  <c:v>31929.0</c:v>
                </c:pt>
                <c:pt idx="72">
                  <c:v>32021.0</c:v>
                </c:pt>
                <c:pt idx="73">
                  <c:v>32112.0</c:v>
                </c:pt>
                <c:pt idx="74">
                  <c:v>32203.0</c:v>
                </c:pt>
                <c:pt idx="75">
                  <c:v>32295.0</c:v>
                </c:pt>
                <c:pt idx="76">
                  <c:v>32387.0</c:v>
                </c:pt>
                <c:pt idx="77">
                  <c:v>32478.0</c:v>
                </c:pt>
                <c:pt idx="78">
                  <c:v>32568.0</c:v>
                </c:pt>
                <c:pt idx="79">
                  <c:v>32660.0</c:v>
                </c:pt>
                <c:pt idx="80">
                  <c:v>32752.0</c:v>
                </c:pt>
                <c:pt idx="81">
                  <c:v>32843.0</c:v>
                </c:pt>
                <c:pt idx="82">
                  <c:v>32933.0</c:v>
                </c:pt>
                <c:pt idx="83">
                  <c:v>33025.0</c:v>
                </c:pt>
                <c:pt idx="84">
                  <c:v>33117.0</c:v>
                </c:pt>
                <c:pt idx="85">
                  <c:v>33208.0</c:v>
                </c:pt>
                <c:pt idx="86">
                  <c:v>33298.0</c:v>
                </c:pt>
                <c:pt idx="87">
                  <c:v>33390.0</c:v>
                </c:pt>
                <c:pt idx="88">
                  <c:v>33482.0</c:v>
                </c:pt>
                <c:pt idx="89">
                  <c:v>33573.0</c:v>
                </c:pt>
                <c:pt idx="90">
                  <c:v>33664.0</c:v>
                </c:pt>
                <c:pt idx="91">
                  <c:v>33756.0</c:v>
                </c:pt>
                <c:pt idx="92">
                  <c:v>33848.0</c:v>
                </c:pt>
                <c:pt idx="93">
                  <c:v>33939.0</c:v>
                </c:pt>
                <c:pt idx="94">
                  <c:v>34029.0</c:v>
                </c:pt>
                <c:pt idx="95">
                  <c:v>34121.0</c:v>
                </c:pt>
                <c:pt idx="96">
                  <c:v>34213.0</c:v>
                </c:pt>
                <c:pt idx="97">
                  <c:v>34304.0</c:v>
                </c:pt>
                <c:pt idx="98">
                  <c:v>34394.0</c:v>
                </c:pt>
                <c:pt idx="99">
                  <c:v>34486.0</c:v>
                </c:pt>
                <c:pt idx="100">
                  <c:v>34578.0</c:v>
                </c:pt>
                <c:pt idx="101">
                  <c:v>34669.0</c:v>
                </c:pt>
                <c:pt idx="102">
                  <c:v>34759.0</c:v>
                </c:pt>
                <c:pt idx="103">
                  <c:v>34851.0</c:v>
                </c:pt>
                <c:pt idx="104">
                  <c:v>34943.0</c:v>
                </c:pt>
                <c:pt idx="105">
                  <c:v>35034.0</c:v>
                </c:pt>
                <c:pt idx="106">
                  <c:v>35125.0</c:v>
                </c:pt>
                <c:pt idx="107">
                  <c:v>35217.0</c:v>
                </c:pt>
                <c:pt idx="108">
                  <c:v>35309.0</c:v>
                </c:pt>
                <c:pt idx="109">
                  <c:v>35400.0</c:v>
                </c:pt>
                <c:pt idx="110">
                  <c:v>35490.0</c:v>
                </c:pt>
                <c:pt idx="111">
                  <c:v>35582.0</c:v>
                </c:pt>
                <c:pt idx="112">
                  <c:v>35674.0</c:v>
                </c:pt>
                <c:pt idx="113">
                  <c:v>35765.0</c:v>
                </c:pt>
                <c:pt idx="114">
                  <c:v>35855.0</c:v>
                </c:pt>
                <c:pt idx="115">
                  <c:v>35947.0</c:v>
                </c:pt>
                <c:pt idx="116">
                  <c:v>36039.0</c:v>
                </c:pt>
                <c:pt idx="117">
                  <c:v>36130.0</c:v>
                </c:pt>
                <c:pt idx="118">
                  <c:v>36220.0</c:v>
                </c:pt>
                <c:pt idx="119">
                  <c:v>36312.0</c:v>
                </c:pt>
                <c:pt idx="120">
                  <c:v>36404.0</c:v>
                </c:pt>
                <c:pt idx="121">
                  <c:v>36495.0</c:v>
                </c:pt>
                <c:pt idx="122">
                  <c:v>36586.0</c:v>
                </c:pt>
                <c:pt idx="123">
                  <c:v>36678.0</c:v>
                </c:pt>
                <c:pt idx="124">
                  <c:v>36770.0</c:v>
                </c:pt>
                <c:pt idx="125">
                  <c:v>36861.0</c:v>
                </c:pt>
                <c:pt idx="126">
                  <c:v>36951.0</c:v>
                </c:pt>
                <c:pt idx="127">
                  <c:v>37043.0</c:v>
                </c:pt>
                <c:pt idx="128">
                  <c:v>37135.0</c:v>
                </c:pt>
                <c:pt idx="129">
                  <c:v>37226.0</c:v>
                </c:pt>
                <c:pt idx="130">
                  <c:v>37316.0</c:v>
                </c:pt>
                <c:pt idx="131">
                  <c:v>37408.0</c:v>
                </c:pt>
                <c:pt idx="132">
                  <c:v>37500.0</c:v>
                </c:pt>
                <c:pt idx="133">
                  <c:v>37591.0</c:v>
                </c:pt>
                <c:pt idx="134">
                  <c:v>37681.0</c:v>
                </c:pt>
                <c:pt idx="135">
                  <c:v>37773.0</c:v>
                </c:pt>
                <c:pt idx="136">
                  <c:v>37865.0</c:v>
                </c:pt>
                <c:pt idx="137">
                  <c:v>37956.0</c:v>
                </c:pt>
                <c:pt idx="138">
                  <c:v>38047.0</c:v>
                </c:pt>
                <c:pt idx="139">
                  <c:v>38139.0</c:v>
                </c:pt>
                <c:pt idx="140">
                  <c:v>38231.0</c:v>
                </c:pt>
                <c:pt idx="141">
                  <c:v>38322.0</c:v>
                </c:pt>
                <c:pt idx="142">
                  <c:v>38412.0</c:v>
                </c:pt>
                <c:pt idx="143">
                  <c:v>38504.0</c:v>
                </c:pt>
                <c:pt idx="144">
                  <c:v>38596.0</c:v>
                </c:pt>
                <c:pt idx="145">
                  <c:v>38687.0</c:v>
                </c:pt>
                <c:pt idx="146">
                  <c:v>38777.0</c:v>
                </c:pt>
                <c:pt idx="147">
                  <c:v>38869.0</c:v>
                </c:pt>
                <c:pt idx="148">
                  <c:v>38961.0</c:v>
                </c:pt>
                <c:pt idx="149">
                  <c:v>39052.0</c:v>
                </c:pt>
                <c:pt idx="150">
                  <c:v>39142.0</c:v>
                </c:pt>
                <c:pt idx="151">
                  <c:v>39234.0</c:v>
                </c:pt>
                <c:pt idx="152">
                  <c:v>39326.0</c:v>
                </c:pt>
                <c:pt idx="153">
                  <c:v>39417.0</c:v>
                </c:pt>
                <c:pt idx="154">
                  <c:v>39508.0</c:v>
                </c:pt>
                <c:pt idx="155">
                  <c:v>39600.0</c:v>
                </c:pt>
                <c:pt idx="156">
                  <c:v>39692.0</c:v>
                </c:pt>
                <c:pt idx="157">
                  <c:v>39783.0</c:v>
                </c:pt>
                <c:pt idx="158">
                  <c:v>39873.0</c:v>
                </c:pt>
                <c:pt idx="159">
                  <c:v>39965.0</c:v>
                </c:pt>
                <c:pt idx="160">
                  <c:v>40057.0</c:v>
                </c:pt>
                <c:pt idx="161">
                  <c:v>40148.0</c:v>
                </c:pt>
                <c:pt idx="162">
                  <c:v>40238.0</c:v>
                </c:pt>
                <c:pt idx="163">
                  <c:v>40330.0</c:v>
                </c:pt>
                <c:pt idx="164">
                  <c:v>40422.0</c:v>
                </c:pt>
                <c:pt idx="165">
                  <c:v>40513.0</c:v>
                </c:pt>
                <c:pt idx="166">
                  <c:v>40603.0</c:v>
                </c:pt>
                <c:pt idx="167">
                  <c:v>40695.0</c:v>
                </c:pt>
                <c:pt idx="168">
                  <c:v>40787.0</c:v>
                </c:pt>
                <c:pt idx="169">
                  <c:v>40878.0</c:v>
                </c:pt>
                <c:pt idx="170">
                  <c:v>40969.0</c:v>
                </c:pt>
                <c:pt idx="171">
                  <c:v>41061.0</c:v>
                </c:pt>
                <c:pt idx="172">
                  <c:v>41153.0</c:v>
                </c:pt>
                <c:pt idx="173">
                  <c:v>41244.0</c:v>
                </c:pt>
                <c:pt idx="174">
                  <c:v>41334.0</c:v>
                </c:pt>
                <c:pt idx="175">
                  <c:v>41426.0</c:v>
                </c:pt>
                <c:pt idx="176">
                  <c:v>41518.0</c:v>
                </c:pt>
                <c:pt idx="177">
                  <c:v>41609.0</c:v>
                </c:pt>
                <c:pt idx="178">
                  <c:v>41699.0</c:v>
                </c:pt>
                <c:pt idx="179">
                  <c:v>41791.0</c:v>
                </c:pt>
                <c:pt idx="180">
                  <c:v>41883.0</c:v>
                </c:pt>
                <c:pt idx="181">
                  <c:v>41974.0</c:v>
                </c:pt>
                <c:pt idx="182">
                  <c:v>42064.0</c:v>
                </c:pt>
                <c:pt idx="183">
                  <c:v>42156.0</c:v>
                </c:pt>
                <c:pt idx="184">
                  <c:v>42248.0</c:v>
                </c:pt>
                <c:pt idx="185">
                  <c:v>42339.0</c:v>
                </c:pt>
                <c:pt idx="186">
                  <c:v>42430.0</c:v>
                </c:pt>
              </c:numCache>
            </c:numRef>
          </c:cat>
          <c:val>
            <c:numRef>
              <c:f>Sheet1!$AF$20:$AF$206</c:f>
              <c:numCache>
                <c:formatCode>_-* #,##0.0_-;\-* #,##0.0_-;_-* "-"??_-;_-@_-</c:formatCode>
                <c:ptCount val="187"/>
                <c:pt idx="0">
                  <c:v>1.0</c:v>
                </c:pt>
                <c:pt idx="2">
                  <c:v>1.0</c:v>
                </c:pt>
                <c:pt idx="3">
                  <c:v>1.0234375</c:v>
                </c:pt>
                <c:pt idx="4">
                  <c:v>1.0234375</c:v>
                </c:pt>
                <c:pt idx="5">
                  <c:v>1.046875</c:v>
                </c:pt>
                <c:pt idx="7">
                  <c:v>1.046875</c:v>
                </c:pt>
                <c:pt idx="8">
                  <c:v>1.109375</c:v>
                </c:pt>
                <c:pt idx="9">
                  <c:v>1.109375</c:v>
                </c:pt>
                <c:pt idx="10">
                  <c:v>1.171875</c:v>
                </c:pt>
                <c:pt idx="11">
                  <c:v>1.171875</c:v>
                </c:pt>
                <c:pt idx="12">
                  <c:v>1.359375</c:v>
                </c:pt>
                <c:pt idx="13">
                  <c:v>1.359375</c:v>
                </c:pt>
                <c:pt idx="14">
                  <c:v>1.546875</c:v>
                </c:pt>
                <c:pt idx="15">
                  <c:v>1.546875</c:v>
                </c:pt>
                <c:pt idx="16">
                  <c:v>1.76953125</c:v>
                </c:pt>
                <c:pt idx="17">
                  <c:v>1.76953125</c:v>
                </c:pt>
                <c:pt idx="18">
                  <c:v>1.9921875</c:v>
                </c:pt>
                <c:pt idx="19">
                  <c:v>1.9921875</c:v>
                </c:pt>
                <c:pt idx="20">
                  <c:v>2.1171875</c:v>
                </c:pt>
                <c:pt idx="21">
                  <c:v>2.1171875</c:v>
                </c:pt>
                <c:pt idx="22">
                  <c:v>2.2421875</c:v>
                </c:pt>
                <c:pt idx="23">
                  <c:v>2.2421875</c:v>
                </c:pt>
                <c:pt idx="24">
                  <c:v>2.40625</c:v>
                </c:pt>
                <c:pt idx="25">
                  <c:v>2.40625</c:v>
                </c:pt>
                <c:pt idx="26">
                  <c:v>2.5703125</c:v>
                </c:pt>
                <c:pt idx="27">
                  <c:v>2.5703125</c:v>
                </c:pt>
                <c:pt idx="28">
                  <c:v>2.730468750000001</c:v>
                </c:pt>
                <c:pt idx="29">
                  <c:v>2.730468750000001</c:v>
                </c:pt>
                <c:pt idx="30">
                  <c:v>2.890625</c:v>
                </c:pt>
                <c:pt idx="31">
                  <c:v>2.890625</c:v>
                </c:pt>
                <c:pt idx="32">
                  <c:v>2.9140625</c:v>
                </c:pt>
                <c:pt idx="33">
                  <c:v>2.9140625</c:v>
                </c:pt>
                <c:pt idx="34">
                  <c:v>2.9375</c:v>
                </c:pt>
                <c:pt idx="35">
                  <c:v>2.9375</c:v>
                </c:pt>
                <c:pt idx="36">
                  <c:v>2.953125</c:v>
                </c:pt>
                <c:pt idx="37">
                  <c:v>2.953125</c:v>
                </c:pt>
                <c:pt idx="38">
                  <c:v>2.96875</c:v>
                </c:pt>
                <c:pt idx="39">
                  <c:v>2.96875</c:v>
                </c:pt>
                <c:pt idx="40">
                  <c:v>3.02734375</c:v>
                </c:pt>
                <c:pt idx="41">
                  <c:v>3.02734375</c:v>
                </c:pt>
                <c:pt idx="42">
                  <c:v>3.0859375</c:v>
                </c:pt>
                <c:pt idx="43">
                  <c:v>3.0859375</c:v>
                </c:pt>
                <c:pt idx="44">
                  <c:v>3.26171875</c:v>
                </c:pt>
                <c:pt idx="45">
                  <c:v>3.26171875</c:v>
                </c:pt>
                <c:pt idx="46">
                  <c:v>3.4375</c:v>
                </c:pt>
                <c:pt idx="47">
                  <c:v>3.4375</c:v>
                </c:pt>
                <c:pt idx="48">
                  <c:v>3.544921875</c:v>
                </c:pt>
                <c:pt idx="49">
                  <c:v>3.544921875</c:v>
                </c:pt>
                <c:pt idx="50">
                  <c:v>3.65234375</c:v>
                </c:pt>
                <c:pt idx="51">
                  <c:v>3.65234375</c:v>
                </c:pt>
                <c:pt idx="52">
                  <c:v>3.876953125</c:v>
                </c:pt>
                <c:pt idx="53">
                  <c:v>3.876953125</c:v>
                </c:pt>
                <c:pt idx="54">
                  <c:v>4.101562500000001</c:v>
                </c:pt>
                <c:pt idx="55">
                  <c:v>4.101562500000001</c:v>
                </c:pt>
                <c:pt idx="56">
                  <c:v>4.58984375</c:v>
                </c:pt>
                <c:pt idx="57">
                  <c:v>4.58984375</c:v>
                </c:pt>
                <c:pt idx="58">
                  <c:v>5.078125000000001</c:v>
                </c:pt>
                <c:pt idx="59">
                  <c:v>5.078125000000001</c:v>
                </c:pt>
                <c:pt idx="60">
                  <c:v>5.4765625</c:v>
                </c:pt>
                <c:pt idx="61">
                  <c:v>5.4765625</c:v>
                </c:pt>
                <c:pt idx="62">
                  <c:v>5.875000000000001</c:v>
                </c:pt>
                <c:pt idx="63">
                  <c:v>5.875000000000001</c:v>
                </c:pt>
                <c:pt idx="64">
                  <c:v>6.140625</c:v>
                </c:pt>
                <c:pt idx="65">
                  <c:v>6.140625</c:v>
                </c:pt>
                <c:pt idx="66">
                  <c:v>6.40625</c:v>
                </c:pt>
                <c:pt idx="67">
                  <c:v>6.40625</c:v>
                </c:pt>
                <c:pt idx="68">
                  <c:v>6.69921875</c:v>
                </c:pt>
                <c:pt idx="69">
                  <c:v>6.69921875</c:v>
                </c:pt>
                <c:pt idx="70">
                  <c:v>6.992187500000001</c:v>
                </c:pt>
                <c:pt idx="71">
                  <c:v>6.992187500000001</c:v>
                </c:pt>
                <c:pt idx="72">
                  <c:v>7.753906250000001</c:v>
                </c:pt>
                <c:pt idx="73">
                  <c:v>7.753906250000001</c:v>
                </c:pt>
                <c:pt idx="74">
                  <c:v>8.515625</c:v>
                </c:pt>
                <c:pt idx="75">
                  <c:v>8.515625</c:v>
                </c:pt>
                <c:pt idx="76">
                  <c:v>9.414062500000001</c:v>
                </c:pt>
                <c:pt idx="77">
                  <c:v>9.414062500000001</c:v>
                </c:pt>
                <c:pt idx="78">
                  <c:v>10.3125</c:v>
                </c:pt>
                <c:pt idx="79">
                  <c:v>10.3125</c:v>
                </c:pt>
                <c:pt idx="80">
                  <c:v>10.2734375</c:v>
                </c:pt>
                <c:pt idx="81">
                  <c:v>10.2734375</c:v>
                </c:pt>
                <c:pt idx="82">
                  <c:v>10.234375</c:v>
                </c:pt>
                <c:pt idx="83">
                  <c:v>10.234375</c:v>
                </c:pt>
                <c:pt idx="84">
                  <c:v>10.078125</c:v>
                </c:pt>
                <c:pt idx="85">
                  <c:v>10.078125</c:v>
                </c:pt>
                <c:pt idx="86">
                  <c:v>9.921875000000002</c:v>
                </c:pt>
                <c:pt idx="87">
                  <c:v>10.0</c:v>
                </c:pt>
                <c:pt idx="88">
                  <c:v>9.84375</c:v>
                </c:pt>
                <c:pt idx="89">
                  <c:v>9.84375</c:v>
                </c:pt>
                <c:pt idx="90">
                  <c:v>9.765625</c:v>
                </c:pt>
                <c:pt idx="91">
                  <c:v>9.765625</c:v>
                </c:pt>
                <c:pt idx="92">
                  <c:v>9.8046875</c:v>
                </c:pt>
                <c:pt idx="93">
                  <c:v>9.8046875</c:v>
                </c:pt>
                <c:pt idx="94">
                  <c:v>9.84375</c:v>
                </c:pt>
                <c:pt idx="95">
                  <c:v>9.84375</c:v>
                </c:pt>
                <c:pt idx="96">
                  <c:v>10.0</c:v>
                </c:pt>
                <c:pt idx="97">
                  <c:v>10.0</c:v>
                </c:pt>
                <c:pt idx="98">
                  <c:v>10.15625</c:v>
                </c:pt>
                <c:pt idx="99">
                  <c:v>10.15625</c:v>
                </c:pt>
                <c:pt idx="100">
                  <c:v>10.1171875</c:v>
                </c:pt>
                <c:pt idx="101">
                  <c:v>10.1171875</c:v>
                </c:pt>
                <c:pt idx="102">
                  <c:v>10.078125</c:v>
                </c:pt>
                <c:pt idx="103">
                  <c:v>10.078125</c:v>
                </c:pt>
                <c:pt idx="104">
                  <c:v>10.15625</c:v>
                </c:pt>
                <c:pt idx="105">
                  <c:v>10.1796875</c:v>
                </c:pt>
                <c:pt idx="106">
                  <c:v>10.234375</c:v>
                </c:pt>
                <c:pt idx="107">
                  <c:v>10.234375</c:v>
                </c:pt>
                <c:pt idx="108">
                  <c:v>10.6640625</c:v>
                </c:pt>
                <c:pt idx="109">
                  <c:v>10.6875</c:v>
                </c:pt>
                <c:pt idx="110">
                  <c:v>11.09375</c:v>
                </c:pt>
                <c:pt idx="111">
                  <c:v>11.328125</c:v>
                </c:pt>
                <c:pt idx="112">
                  <c:v>11.6015625</c:v>
                </c:pt>
                <c:pt idx="113">
                  <c:v>11.6015625</c:v>
                </c:pt>
                <c:pt idx="114">
                  <c:v>12.109375</c:v>
                </c:pt>
                <c:pt idx="115">
                  <c:v>12.5</c:v>
                </c:pt>
                <c:pt idx="116">
                  <c:v>12.890625</c:v>
                </c:pt>
                <c:pt idx="117">
                  <c:v>12.890625</c:v>
                </c:pt>
                <c:pt idx="118">
                  <c:v>13.671875</c:v>
                </c:pt>
                <c:pt idx="119">
                  <c:v>14.0625</c:v>
                </c:pt>
                <c:pt idx="120">
                  <c:v>14.296875</c:v>
                </c:pt>
                <c:pt idx="121">
                  <c:v>14.296875</c:v>
                </c:pt>
                <c:pt idx="122">
                  <c:v>14.921875</c:v>
                </c:pt>
                <c:pt idx="123">
                  <c:v>15.625</c:v>
                </c:pt>
                <c:pt idx="124">
                  <c:v>16.25</c:v>
                </c:pt>
                <c:pt idx="125">
                  <c:v>16.25</c:v>
                </c:pt>
                <c:pt idx="126">
                  <c:v>17.578125</c:v>
                </c:pt>
                <c:pt idx="127">
                  <c:v>17.96875</c:v>
                </c:pt>
                <c:pt idx="128">
                  <c:v>18.8671875</c:v>
                </c:pt>
                <c:pt idx="129">
                  <c:v>18.8671875</c:v>
                </c:pt>
                <c:pt idx="130">
                  <c:v>20.15625</c:v>
                </c:pt>
                <c:pt idx="131">
                  <c:v>21.42393867924529</c:v>
                </c:pt>
                <c:pt idx="132">
                  <c:v>21.9310141509434</c:v>
                </c:pt>
                <c:pt idx="133">
                  <c:v>22.43808962264151</c:v>
                </c:pt>
                <c:pt idx="134">
                  <c:v>22.90290880503145</c:v>
                </c:pt>
                <c:pt idx="135">
                  <c:v>24.08608490566038</c:v>
                </c:pt>
                <c:pt idx="136">
                  <c:v>25.14249213836478</c:v>
                </c:pt>
                <c:pt idx="137">
                  <c:v>26.24115566037736</c:v>
                </c:pt>
                <c:pt idx="138">
                  <c:v>25.69182389937107</c:v>
                </c:pt>
                <c:pt idx="139">
                  <c:v>25.73408018867925</c:v>
                </c:pt>
                <c:pt idx="140">
                  <c:v>25.73408018867925</c:v>
                </c:pt>
                <c:pt idx="141">
                  <c:v>26.36792452830189</c:v>
                </c:pt>
                <c:pt idx="142">
                  <c:v>26.41018081761007</c:v>
                </c:pt>
                <c:pt idx="143">
                  <c:v>26.7059748427673</c:v>
                </c:pt>
                <c:pt idx="144">
                  <c:v>26.66371855345912</c:v>
                </c:pt>
                <c:pt idx="145">
                  <c:v>27.04402515723271</c:v>
                </c:pt>
                <c:pt idx="146">
                  <c:v>27.63561320754717</c:v>
                </c:pt>
                <c:pt idx="147">
                  <c:v>28.39622641509434</c:v>
                </c:pt>
                <c:pt idx="148">
                  <c:v>28.77653301886792</c:v>
                </c:pt>
                <c:pt idx="149">
                  <c:v>29.36812106918239</c:v>
                </c:pt>
                <c:pt idx="150">
                  <c:v>30.00196540880503</c:v>
                </c:pt>
                <c:pt idx="151">
                  <c:v>32.11477987421384</c:v>
                </c:pt>
                <c:pt idx="152">
                  <c:v>33.59375</c:v>
                </c:pt>
                <c:pt idx="153">
                  <c:v>35.79107704402515</c:v>
                </c:pt>
                <c:pt idx="154">
                  <c:v>36.21363993710692</c:v>
                </c:pt>
                <c:pt idx="155">
                  <c:v>36.12912735849056</c:v>
                </c:pt>
                <c:pt idx="156">
                  <c:v>35.07272012578616</c:v>
                </c:pt>
                <c:pt idx="157">
                  <c:v>34.77692610062893</c:v>
                </c:pt>
                <c:pt idx="158">
                  <c:v>34.86143867924528</c:v>
                </c:pt>
                <c:pt idx="159">
                  <c:v>36.72071540880503</c:v>
                </c:pt>
                <c:pt idx="160">
                  <c:v>39.0870676100629</c:v>
                </c:pt>
                <c:pt idx="161">
                  <c:v>41.66470125786164</c:v>
                </c:pt>
                <c:pt idx="162">
                  <c:v>43.65074685534591</c:v>
                </c:pt>
                <c:pt idx="163">
                  <c:v>44.87617924528302</c:v>
                </c:pt>
                <c:pt idx="164">
                  <c:v>44.07330974842767</c:v>
                </c:pt>
                <c:pt idx="165">
                  <c:v>44.66489779874214</c:v>
                </c:pt>
                <c:pt idx="166">
                  <c:v>44.24233490566038</c:v>
                </c:pt>
                <c:pt idx="167">
                  <c:v>43.73525943396226</c:v>
                </c:pt>
                <c:pt idx="168">
                  <c:v>42.80562106918239</c:v>
                </c:pt>
                <c:pt idx="169">
                  <c:v>42.2562893081761</c:v>
                </c:pt>
                <c:pt idx="170">
                  <c:v>42.00275157232705</c:v>
                </c:pt>
                <c:pt idx="171">
                  <c:v>41.96049528301887</c:v>
                </c:pt>
                <c:pt idx="172">
                  <c:v>41.66470125786164</c:v>
                </c:pt>
                <c:pt idx="173">
                  <c:v>42.42531446540881</c:v>
                </c:pt>
                <c:pt idx="174">
                  <c:v>42.59433962264151</c:v>
                </c:pt>
                <c:pt idx="175">
                  <c:v>43.39720911949686</c:v>
                </c:pt>
                <c:pt idx="176">
                  <c:v>44.7494103773585</c:v>
                </c:pt>
                <c:pt idx="177">
                  <c:v>46.35514937106919</c:v>
                </c:pt>
                <c:pt idx="178">
                  <c:v>46.77771226415094</c:v>
                </c:pt>
                <c:pt idx="179">
                  <c:v>47.3693003144654</c:v>
                </c:pt>
                <c:pt idx="180">
                  <c:v>47.79186320754717</c:v>
                </c:pt>
                <c:pt idx="181">
                  <c:v>48.67924528301887</c:v>
                </c:pt>
                <c:pt idx="182">
                  <c:v>48.9750393081761</c:v>
                </c:pt>
                <c:pt idx="183">
                  <c:v>51.04559748427673</c:v>
                </c:pt>
                <c:pt idx="184">
                  <c:v>52.5245676100629</c:v>
                </c:pt>
                <c:pt idx="185">
                  <c:v>53.36969339622642</c:v>
                </c:pt>
                <c:pt idx="186">
                  <c:v>53.79225628930817</c:v>
                </c:pt>
              </c:numCache>
            </c:numRef>
          </c:val>
          <c:smooth val="0"/>
        </c:ser>
        <c:ser>
          <c:idx val="1"/>
          <c:order val="1"/>
          <c:tx>
            <c:v>Melbourne Residential Property - Total Return (Gross)</c:v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Sheet1!$AE$20:$AE$206</c:f>
              <c:numCache>
                <c:formatCode>m/d/yy</c:formatCode>
                <c:ptCount val="187"/>
                <c:pt idx="0">
                  <c:v>25628.0</c:v>
                </c:pt>
                <c:pt idx="2">
                  <c:v>25720.0</c:v>
                </c:pt>
                <c:pt idx="3">
                  <c:v>25812.0</c:v>
                </c:pt>
                <c:pt idx="4">
                  <c:v>25903.0</c:v>
                </c:pt>
                <c:pt idx="5">
                  <c:v>25993.0</c:v>
                </c:pt>
                <c:pt idx="7">
                  <c:v>26085.0</c:v>
                </c:pt>
                <c:pt idx="8">
                  <c:v>26177.0</c:v>
                </c:pt>
                <c:pt idx="9">
                  <c:v>26268.0</c:v>
                </c:pt>
                <c:pt idx="10">
                  <c:v>26359.0</c:v>
                </c:pt>
                <c:pt idx="11">
                  <c:v>26451.0</c:v>
                </c:pt>
                <c:pt idx="12">
                  <c:v>26543.0</c:v>
                </c:pt>
                <c:pt idx="13">
                  <c:v>26634.0</c:v>
                </c:pt>
                <c:pt idx="14">
                  <c:v>26724.0</c:v>
                </c:pt>
                <c:pt idx="15">
                  <c:v>26816.0</c:v>
                </c:pt>
                <c:pt idx="16">
                  <c:v>26908.0</c:v>
                </c:pt>
                <c:pt idx="17">
                  <c:v>26999.0</c:v>
                </c:pt>
                <c:pt idx="18">
                  <c:v>27089.0</c:v>
                </c:pt>
                <c:pt idx="19">
                  <c:v>27181.0</c:v>
                </c:pt>
                <c:pt idx="20">
                  <c:v>27273.0</c:v>
                </c:pt>
                <c:pt idx="21">
                  <c:v>27364.0</c:v>
                </c:pt>
                <c:pt idx="22">
                  <c:v>27454.0</c:v>
                </c:pt>
                <c:pt idx="23">
                  <c:v>27546.0</c:v>
                </c:pt>
                <c:pt idx="24">
                  <c:v>27638.0</c:v>
                </c:pt>
                <c:pt idx="25">
                  <c:v>27729.0</c:v>
                </c:pt>
                <c:pt idx="26">
                  <c:v>27820.0</c:v>
                </c:pt>
                <c:pt idx="27">
                  <c:v>27912.0</c:v>
                </c:pt>
                <c:pt idx="28">
                  <c:v>28004.0</c:v>
                </c:pt>
                <c:pt idx="29">
                  <c:v>28095.0</c:v>
                </c:pt>
                <c:pt idx="30">
                  <c:v>28185.0</c:v>
                </c:pt>
                <c:pt idx="31">
                  <c:v>28277.0</c:v>
                </c:pt>
                <c:pt idx="32">
                  <c:v>28369.0</c:v>
                </c:pt>
                <c:pt idx="33">
                  <c:v>28460.0</c:v>
                </c:pt>
                <c:pt idx="34">
                  <c:v>28550.0</c:v>
                </c:pt>
                <c:pt idx="35">
                  <c:v>28642.0</c:v>
                </c:pt>
                <c:pt idx="36">
                  <c:v>28734.0</c:v>
                </c:pt>
                <c:pt idx="37">
                  <c:v>28825.0</c:v>
                </c:pt>
                <c:pt idx="38">
                  <c:v>28915.0</c:v>
                </c:pt>
                <c:pt idx="39">
                  <c:v>29007.0</c:v>
                </c:pt>
                <c:pt idx="40">
                  <c:v>29099.0</c:v>
                </c:pt>
                <c:pt idx="41">
                  <c:v>29190.0</c:v>
                </c:pt>
                <c:pt idx="42">
                  <c:v>29281.0</c:v>
                </c:pt>
                <c:pt idx="43">
                  <c:v>29373.0</c:v>
                </c:pt>
                <c:pt idx="44">
                  <c:v>29465.0</c:v>
                </c:pt>
                <c:pt idx="45">
                  <c:v>29556.0</c:v>
                </c:pt>
                <c:pt idx="46">
                  <c:v>29646.0</c:v>
                </c:pt>
                <c:pt idx="47">
                  <c:v>29738.0</c:v>
                </c:pt>
                <c:pt idx="48">
                  <c:v>29830.0</c:v>
                </c:pt>
                <c:pt idx="49">
                  <c:v>29921.0</c:v>
                </c:pt>
                <c:pt idx="50">
                  <c:v>30011.0</c:v>
                </c:pt>
                <c:pt idx="51">
                  <c:v>30103.0</c:v>
                </c:pt>
                <c:pt idx="52">
                  <c:v>30195.0</c:v>
                </c:pt>
                <c:pt idx="53">
                  <c:v>30286.0</c:v>
                </c:pt>
                <c:pt idx="54">
                  <c:v>30376.0</c:v>
                </c:pt>
                <c:pt idx="55">
                  <c:v>30468.0</c:v>
                </c:pt>
                <c:pt idx="56">
                  <c:v>30560.0</c:v>
                </c:pt>
                <c:pt idx="57">
                  <c:v>30651.0</c:v>
                </c:pt>
                <c:pt idx="58">
                  <c:v>30742.0</c:v>
                </c:pt>
                <c:pt idx="59">
                  <c:v>30834.0</c:v>
                </c:pt>
                <c:pt idx="60">
                  <c:v>30926.0</c:v>
                </c:pt>
                <c:pt idx="61">
                  <c:v>31017.0</c:v>
                </c:pt>
                <c:pt idx="62">
                  <c:v>31107.0</c:v>
                </c:pt>
                <c:pt idx="63">
                  <c:v>31199.0</c:v>
                </c:pt>
                <c:pt idx="64">
                  <c:v>31291.0</c:v>
                </c:pt>
                <c:pt idx="65">
                  <c:v>31382.0</c:v>
                </c:pt>
                <c:pt idx="66">
                  <c:v>31472.0</c:v>
                </c:pt>
                <c:pt idx="67">
                  <c:v>31564.0</c:v>
                </c:pt>
                <c:pt idx="68">
                  <c:v>31656.0</c:v>
                </c:pt>
                <c:pt idx="69">
                  <c:v>31747.0</c:v>
                </c:pt>
                <c:pt idx="70">
                  <c:v>31837.0</c:v>
                </c:pt>
                <c:pt idx="71">
                  <c:v>31929.0</c:v>
                </c:pt>
                <c:pt idx="72">
                  <c:v>32021.0</c:v>
                </c:pt>
                <c:pt idx="73">
                  <c:v>32112.0</c:v>
                </c:pt>
                <c:pt idx="74">
                  <c:v>32203.0</c:v>
                </c:pt>
                <c:pt idx="75">
                  <c:v>32295.0</c:v>
                </c:pt>
                <c:pt idx="76">
                  <c:v>32387.0</c:v>
                </c:pt>
                <c:pt idx="77">
                  <c:v>32478.0</c:v>
                </c:pt>
                <c:pt idx="78">
                  <c:v>32568.0</c:v>
                </c:pt>
                <c:pt idx="79">
                  <c:v>32660.0</c:v>
                </c:pt>
                <c:pt idx="80">
                  <c:v>32752.0</c:v>
                </c:pt>
                <c:pt idx="81">
                  <c:v>32843.0</c:v>
                </c:pt>
                <c:pt idx="82">
                  <c:v>32933.0</c:v>
                </c:pt>
                <c:pt idx="83">
                  <c:v>33025.0</c:v>
                </c:pt>
                <c:pt idx="84">
                  <c:v>33117.0</c:v>
                </c:pt>
                <c:pt idx="85">
                  <c:v>33208.0</c:v>
                </c:pt>
                <c:pt idx="86">
                  <c:v>33298.0</c:v>
                </c:pt>
                <c:pt idx="87">
                  <c:v>33390.0</c:v>
                </c:pt>
                <c:pt idx="88">
                  <c:v>33482.0</c:v>
                </c:pt>
                <c:pt idx="89">
                  <c:v>33573.0</c:v>
                </c:pt>
                <c:pt idx="90">
                  <c:v>33664.0</c:v>
                </c:pt>
                <c:pt idx="91">
                  <c:v>33756.0</c:v>
                </c:pt>
                <c:pt idx="92">
                  <c:v>33848.0</c:v>
                </c:pt>
                <c:pt idx="93">
                  <c:v>33939.0</c:v>
                </c:pt>
                <c:pt idx="94">
                  <c:v>34029.0</c:v>
                </c:pt>
                <c:pt idx="95">
                  <c:v>34121.0</c:v>
                </c:pt>
                <c:pt idx="96">
                  <c:v>34213.0</c:v>
                </c:pt>
                <c:pt idx="97">
                  <c:v>34304.0</c:v>
                </c:pt>
                <c:pt idx="98">
                  <c:v>34394.0</c:v>
                </c:pt>
                <c:pt idx="99">
                  <c:v>34486.0</c:v>
                </c:pt>
                <c:pt idx="100">
                  <c:v>34578.0</c:v>
                </c:pt>
                <c:pt idx="101">
                  <c:v>34669.0</c:v>
                </c:pt>
                <c:pt idx="102">
                  <c:v>34759.0</c:v>
                </c:pt>
                <c:pt idx="103">
                  <c:v>34851.0</c:v>
                </c:pt>
                <c:pt idx="104">
                  <c:v>34943.0</c:v>
                </c:pt>
                <c:pt idx="105">
                  <c:v>35034.0</c:v>
                </c:pt>
                <c:pt idx="106">
                  <c:v>35125.0</c:v>
                </c:pt>
                <c:pt idx="107">
                  <c:v>35217.0</c:v>
                </c:pt>
                <c:pt idx="108">
                  <c:v>35309.0</c:v>
                </c:pt>
                <c:pt idx="109">
                  <c:v>35400.0</c:v>
                </c:pt>
                <c:pt idx="110">
                  <c:v>35490.0</c:v>
                </c:pt>
                <c:pt idx="111">
                  <c:v>35582.0</c:v>
                </c:pt>
                <c:pt idx="112">
                  <c:v>35674.0</c:v>
                </c:pt>
                <c:pt idx="113">
                  <c:v>35765.0</c:v>
                </c:pt>
                <c:pt idx="114">
                  <c:v>35855.0</c:v>
                </c:pt>
                <c:pt idx="115">
                  <c:v>35947.0</c:v>
                </c:pt>
                <c:pt idx="116">
                  <c:v>36039.0</c:v>
                </c:pt>
                <c:pt idx="117">
                  <c:v>36130.0</c:v>
                </c:pt>
                <c:pt idx="118">
                  <c:v>36220.0</c:v>
                </c:pt>
                <c:pt idx="119">
                  <c:v>36312.0</c:v>
                </c:pt>
                <c:pt idx="120">
                  <c:v>36404.0</c:v>
                </c:pt>
                <c:pt idx="121">
                  <c:v>36495.0</c:v>
                </c:pt>
                <c:pt idx="122">
                  <c:v>36586.0</c:v>
                </c:pt>
                <c:pt idx="123">
                  <c:v>36678.0</c:v>
                </c:pt>
                <c:pt idx="124">
                  <c:v>36770.0</c:v>
                </c:pt>
                <c:pt idx="125">
                  <c:v>36861.0</c:v>
                </c:pt>
                <c:pt idx="126">
                  <c:v>36951.0</c:v>
                </c:pt>
                <c:pt idx="127">
                  <c:v>37043.0</c:v>
                </c:pt>
                <c:pt idx="128">
                  <c:v>37135.0</c:v>
                </c:pt>
                <c:pt idx="129">
                  <c:v>37226.0</c:v>
                </c:pt>
                <c:pt idx="130">
                  <c:v>37316.0</c:v>
                </c:pt>
                <c:pt idx="131">
                  <c:v>37408.0</c:v>
                </c:pt>
                <c:pt idx="132">
                  <c:v>37500.0</c:v>
                </c:pt>
                <c:pt idx="133">
                  <c:v>37591.0</c:v>
                </c:pt>
                <c:pt idx="134">
                  <c:v>37681.0</c:v>
                </c:pt>
                <c:pt idx="135">
                  <c:v>37773.0</c:v>
                </c:pt>
                <c:pt idx="136">
                  <c:v>37865.0</c:v>
                </c:pt>
                <c:pt idx="137">
                  <c:v>37956.0</c:v>
                </c:pt>
                <c:pt idx="138">
                  <c:v>38047.0</c:v>
                </c:pt>
                <c:pt idx="139">
                  <c:v>38139.0</c:v>
                </c:pt>
                <c:pt idx="140">
                  <c:v>38231.0</c:v>
                </c:pt>
                <c:pt idx="141">
                  <c:v>38322.0</c:v>
                </c:pt>
                <c:pt idx="142">
                  <c:v>38412.0</c:v>
                </c:pt>
                <c:pt idx="143">
                  <c:v>38504.0</c:v>
                </c:pt>
                <c:pt idx="144">
                  <c:v>38596.0</c:v>
                </c:pt>
                <c:pt idx="145">
                  <c:v>38687.0</c:v>
                </c:pt>
                <c:pt idx="146">
                  <c:v>38777.0</c:v>
                </c:pt>
                <c:pt idx="147">
                  <c:v>38869.0</c:v>
                </c:pt>
                <c:pt idx="148">
                  <c:v>38961.0</c:v>
                </c:pt>
                <c:pt idx="149">
                  <c:v>39052.0</c:v>
                </c:pt>
                <c:pt idx="150">
                  <c:v>39142.0</c:v>
                </c:pt>
                <c:pt idx="151">
                  <c:v>39234.0</c:v>
                </c:pt>
                <c:pt idx="152">
                  <c:v>39326.0</c:v>
                </c:pt>
                <c:pt idx="153">
                  <c:v>39417.0</c:v>
                </c:pt>
                <c:pt idx="154">
                  <c:v>39508.0</c:v>
                </c:pt>
                <c:pt idx="155">
                  <c:v>39600.0</c:v>
                </c:pt>
                <c:pt idx="156">
                  <c:v>39692.0</c:v>
                </c:pt>
                <c:pt idx="157">
                  <c:v>39783.0</c:v>
                </c:pt>
                <c:pt idx="158">
                  <c:v>39873.0</c:v>
                </c:pt>
                <c:pt idx="159">
                  <c:v>39965.0</c:v>
                </c:pt>
                <c:pt idx="160">
                  <c:v>40057.0</c:v>
                </c:pt>
                <c:pt idx="161">
                  <c:v>40148.0</c:v>
                </c:pt>
                <c:pt idx="162">
                  <c:v>40238.0</c:v>
                </c:pt>
                <c:pt idx="163">
                  <c:v>40330.0</c:v>
                </c:pt>
                <c:pt idx="164">
                  <c:v>40422.0</c:v>
                </c:pt>
                <c:pt idx="165">
                  <c:v>40513.0</c:v>
                </c:pt>
                <c:pt idx="166">
                  <c:v>40603.0</c:v>
                </c:pt>
                <c:pt idx="167">
                  <c:v>40695.0</c:v>
                </c:pt>
                <c:pt idx="168">
                  <c:v>40787.0</c:v>
                </c:pt>
                <c:pt idx="169">
                  <c:v>40878.0</c:v>
                </c:pt>
                <c:pt idx="170">
                  <c:v>40969.0</c:v>
                </c:pt>
                <c:pt idx="171">
                  <c:v>41061.0</c:v>
                </c:pt>
                <c:pt idx="172">
                  <c:v>41153.0</c:v>
                </c:pt>
                <c:pt idx="173">
                  <c:v>41244.0</c:v>
                </c:pt>
                <c:pt idx="174">
                  <c:v>41334.0</c:v>
                </c:pt>
                <c:pt idx="175">
                  <c:v>41426.0</c:v>
                </c:pt>
                <c:pt idx="176">
                  <c:v>41518.0</c:v>
                </c:pt>
                <c:pt idx="177">
                  <c:v>41609.0</c:v>
                </c:pt>
                <c:pt idx="178">
                  <c:v>41699.0</c:v>
                </c:pt>
                <c:pt idx="179">
                  <c:v>41791.0</c:v>
                </c:pt>
                <c:pt idx="180">
                  <c:v>41883.0</c:v>
                </c:pt>
                <c:pt idx="181">
                  <c:v>41974.0</c:v>
                </c:pt>
                <c:pt idx="182">
                  <c:v>42064.0</c:v>
                </c:pt>
                <c:pt idx="183">
                  <c:v>42156.0</c:v>
                </c:pt>
                <c:pt idx="184">
                  <c:v>42248.0</c:v>
                </c:pt>
                <c:pt idx="185">
                  <c:v>42339.0</c:v>
                </c:pt>
                <c:pt idx="186">
                  <c:v>42430.0</c:v>
                </c:pt>
              </c:numCache>
            </c:numRef>
          </c:cat>
          <c:val>
            <c:numRef>
              <c:f>Sheet1!$AG$20:$AG$206</c:f>
              <c:numCache>
                <c:formatCode>_-* #,##0.0_-;\-* #,##0.0_-;_-* "-"??_-;_-@_-</c:formatCode>
                <c:ptCount val="187"/>
                <c:pt idx="0">
                  <c:v>1.0</c:v>
                </c:pt>
                <c:pt idx="2">
                  <c:v>1.010292953285827</c:v>
                </c:pt>
                <c:pt idx="3">
                  <c:v>1.044023406571655</c:v>
                </c:pt>
                <c:pt idx="4">
                  <c:v>1.054557600950119</c:v>
                </c:pt>
                <c:pt idx="5">
                  <c:v>1.088114855502771</c:v>
                </c:pt>
                <c:pt idx="7">
                  <c:v>1.09847585114806</c:v>
                </c:pt>
                <c:pt idx="8">
                  <c:v>1.171312104117181</c:v>
                </c:pt>
                <c:pt idx="9">
                  <c:v>1.182291666666667</c:v>
                </c:pt>
                <c:pt idx="10">
                  <c:v>1.25571749121635</c:v>
                </c:pt>
                <c:pt idx="11">
                  <c:v>1.267286625346397</c:v>
                </c:pt>
                <c:pt idx="12">
                  <c:v>1.46627689219616</c:v>
                </c:pt>
                <c:pt idx="13">
                  <c:v>1.479697087787015</c:v>
                </c:pt>
                <c:pt idx="14">
                  <c:v>1.679581570417656</c:v>
                </c:pt>
                <c:pt idx="15">
                  <c:v>1.69389598178939</c:v>
                </c:pt>
                <c:pt idx="16">
                  <c:v>1.930635260478523</c:v>
                </c:pt>
                <c:pt idx="17">
                  <c:v>1.947010079547704</c:v>
                </c:pt>
                <c:pt idx="18">
                  <c:v>2.18378879187698</c:v>
                </c:pt>
                <c:pt idx="19">
                  <c:v>2.200203044586302</c:v>
                </c:pt>
                <c:pt idx="20">
                  <c:v>2.341360592030384</c:v>
                </c:pt>
                <c:pt idx="21">
                  <c:v>2.358804758635194</c:v>
                </c:pt>
                <c:pt idx="22">
                  <c:v>2.502601073832146</c:v>
                </c:pt>
                <c:pt idx="23">
                  <c:v>2.522684008189827</c:v>
                </c:pt>
                <c:pt idx="24">
                  <c:v>2.706610237900831</c:v>
                </c:pt>
                <c:pt idx="25">
                  <c:v>2.728162655260293</c:v>
                </c:pt>
                <c:pt idx="26">
                  <c:v>2.915275471038698</c:v>
                </c:pt>
                <c:pt idx="27">
                  <c:v>2.940014474465558</c:v>
                </c:pt>
                <c:pt idx="28">
                  <c:v>3.12480273514821</c:v>
                </c:pt>
                <c:pt idx="29">
                  <c:v>3.151083226630544</c:v>
                </c:pt>
                <c:pt idx="30">
                  <c:v>3.339987760107383</c:v>
                </c:pt>
                <c:pt idx="31">
                  <c:v>3.370384524383908</c:v>
                </c:pt>
                <c:pt idx="32">
                  <c:v>3.424224007818686</c:v>
                </c:pt>
                <c:pt idx="33">
                  <c:v>3.454867232346101</c:v>
                </c:pt>
                <c:pt idx="34">
                  <c:v>3.511933122092736</c:v>
                </c:pt>
                <c:pt idx="35">
                  <c:v>3.545802752932007</c:v>
                </c:pt>
                <c:pt idx="36">
                  <c:v>3.595316713987034</c:v>
                </c:pt>
                <c:pt idx="37">
                  <c:v>3.629366502437153</c:v>
                </c:pt>
                <c:pt idx="38">
                  <c:v>3.679942078941509</c:v>
                </c:pt>
                <c:pt idx="39">
                  <c:v>3.715053482840955</c:v>
                </c:pt>
                <c:pt idx="40">
                  <c:v>3.808848522243666</c:v>
                </c:pt>
                <c:pt idx="41">
                  <c:v>3.844652914377969</c:v>
                </c:pt>
                <c:pt idx="42">
                  <c:v>3.938606461549881</c:v>
                </c:pt>
                <c:pt idx="43">
                  <c:v>3.974569361453386</c:v>
                </c:pt>
                <c:pt idx="44">
                  <c:v>4.186552722776871</c:v>
                </c:pt>
                <c:pt idx="45">
                  <c:v>4.224564142295131</c:v>
                </c:pt>
                <c:pt idx="46">
                  <c:v>4.437405281942795</c:v>
                </c:pt>
                <c:pt idx="47">
                  <c:v>4.476274479785234</c:v>
                </c:pt>
                <c:pt idx="48">
                  <c:v>4.622674526718999</c:v>
                </c:pt>
                <c:pt idx="49">
                  <c:v>4.662758386994013</c:v>
                </c:pt>
                <c:pt idx="50">
                  <c:v>4.812903421602831</c:v>
                </c:pt>
                <c:pt idx="51">
                  <c:v>4.856732269552901</c:v>
                </c:pt>
                <c:pt idx="52">
                  <c:v>5.125553955658033</c:v>
                </c:pt>
                <c:pt idx="53">
                  <c:v>5.172078160567597</c:v>
                </c:pt>
                <c:pt idx="54">
                  <c:v>5.447045647144696</c:v>
                </c:pt>
                <c:pt idx="55">
                  <c:v>5.499715652526229</c:v>
                </c:pt>
                <c:pt idx="56">
                  <c:v>6.041911290547061</c:v>
                </c:pt>
                <c:pt idx="57">
                  <c:v>6.10085153466449</c:v>
                </c:pt>
                <c:pt idx="58">
                  <c:v>6.648186593799487</c:v>
                </c:pt>
                <c:pt idx="59">
                  <c:v>6.712266259031078</c:v>
                </c:pt>
                <c:pt idx="60">
                  <c:v>7.175710114806018</c:v>
                </c:pt>
                <c:pt idx="61">
                  <c:v>7.244817569155781</c:v>
                </c:pt>
                <c:pt idx="62">
                  <c:v>7.711399492156572</c:v>
                </c:pt>
                <c:pt idx="63">
                  <c:v>7.783645013732185</c:v>
                </c:pt>
                <c:pt idx="64">
                  <c:v>8.122047889449722</c:v>
                </c:pt>
                <c:pt idx="65">
                  <c:v>8.19755983088381</c:v>
                </c:pt>
                <c:pt idx="66">
                  <c:v>8.544459882843428</c:v>
                </c:pt>
                <c:pt idx="67">
                  <c:v>8.628469000519598</c:v>
                </c:pt>
                <c:pt idx="68">
                  <c:v>9.00627323491934</c:v>
                </c:pt>
                <c:pt idx="69">
                  <c:v>9.094124232977037</c:v>
                </c:pt>
                <c:pt idx="70">
                  <c:v>9.467812097931513</c:v>
                </c:pt>
                <c:pt idx="71">
                  <c:v>9.55154672654394</c:v>
                </c:pt>
                <c:pt idx="72">
                  <c:v>10.39828169846101</c:v>
                </c:pt>
                <c:pt idx="73">
                  <c:v>10.49113825588876</c:v>
                </c:pt>
                <c:pt idx="74">
                  <c:v>11.34825935273159</c:v>
                </c:pt>
                <c:pt idx="75">
                  <c:v>11.45150203508511</c:v>
                </c:pt>
                <c:pt idx="76">
                  <c:v>12.45482721879949</c:v>
                </c:pt>
                <c:pt idx="77">
                  <c:v>12.56896247773159</c:v>
                </c:pt>
                <c:pt idx="78">
                  <c:v>13.56378816557799</c:v>
                </c:pt>
                <c:pt idx="79">
                  <c:v>13.66942392864212</c:v>
                </c:pt>
                <c:pt idx="80">
                  <c:v>13.73599912472783</c:v>
                </c:pt>
                <c:pt idx="81">
                  <c:v>13.84123475232581</c:v>
                </c:pt>
                <c:pt idx="82">
                  <c:v>13.91222110364707</c:v>
                </c:pt>
                <c:pt idx="83">
                  <c:v>14.0218678864806</c:v>
                </c:pt>
                <c:pt idx="84">
                  <c:v>13.97519894658056</c:v>
                </c:pt>
                <c:pt idx="85">
                  <c:v>14.08317173272961</c:v>
                </c:pt>
                <c:pt idx="86">
                  <c:v>14.03851120224664</c:v>
                </c:pt>
                <c:pt idx="87">
                  <c:v>14.22667925450317</c:v>
                </c:pt>
                <c:pt idx="88">
                  <c:v>14.18115273035432</c:v>
                </c:pt>
                <c:pt idx="89">
                  <c:v>14.29026793225455</c:v>
                </c:pt>
                <c:pt idx="90">
                  <c:v>14.31950488358571</c:v>
                </c:pt>
                <c:pt idx="91">
                  <c:v>14.42606269794141</c:v>
                </c:pt>
                <c:pt idx="92">
                  <c:v>14.57170717506681</c:v>
                </c:pt>
                <c:pt idx="93">
                  <c:v>14.67869122067993</c:v>
                </c:pt>
                <c:pt idx="94">
                  <c:v>14.82183920044042</c:v>
                </c:pt>
                <c:pt idx="95">
                  <c:v>14.92632674868864</c:v>
                </c:pt>
                <c:pt idx="96">
                  <c:v>15.18711455549782</c:v>
                </c:pt>
                <c:pt idx="97">
                  <c:v>15.29326063625792</c:v>
                </c:pt>
                <c:pt idx="98">
                  <c:v>15.5524401691162</c:v>
                </c:pt>
                <c:pt idx="99">
                  <c:v>15.65697797592538</c:v>
                </c:pt>
                <c:pt idx="100">
                  <c:v>15.72245328273456</c:v>
                </c:pt>
                <c:pt idx="101">
                  <c:v>15.82658902105602</c:v>
                </c:pt>
                <c:pt idx="102">
                  <c:v>15.89116353981097</c:v>
                </c:pt>
                <c:pt idx="103">
                  <c:v>15.99439849007819</c:v>
                </c:pt>
                <c:pt idx="104">
                  <c:v>16.17575457430226</c:v>
                </c:pt>
                <c:pt idx="105">
                  <c:v>16.30322613568884</c:v>
                </c:pt>
                <c:pt idx="106">
                  <c:v>16.46370558689628</c:v>
                </c:pt>
                <c:pt idx="107">
                  <c:v>16.57006043398654</c:v>
                </c:pt>
                <c:pt idx="108">
                  <c:v>17.10614530755147</c:v>
                </c:pt>
                <c:pt idx="109">
                  <c:v>17.24040525410729</c:v>
                </c:pt>
                <c:pt idx="110">
                  <c:v>17.75858261579573</c:v>
                </c:pt>
                <c:pt idx="111">
                  <c:v>18.10910708320962</c:v>
                </c:pt>
                <c:pt idx="112">
                  <c:v>18.50115382057849</c:v>
                </c:pt>
                <c:pt idx="113">
                  <c:v>18.62257753736145</c:v>
                </c:pt>
                <c:pt idx="114">
                  <c:v>19.24680819477435</c:v>
                </c:pt>
                <c:pt idx="115">
                  <c:v>19.75898159144894</c:v>
                </c:pt>
                <c:pt idx="116">
                  <c:v>20.27507902192201</c:v>
                </c:pt>
                <c:pt idx="117">
                  <c:v>20.40457213727237</c:v>
                </c:pt>
                <c:pt idx="118">
                  <c:v>21.31173916270784</c:v>
                </c:pt>
                <c:pt idx="119">
                  <c:v>21.8361292557403</c:v>
                </c:pt>
                <c:pt idx="120">
                  <c:v>22.2081740523555</c:v>
                </c:pt>
                <c:pt idx="121">
                  <c:v>22.34825625989707</c:v>
                </c:pt>
                <c:pt idx="122">
                  <c:v>23.10379900596299</c:v>
                </c:pt>
                <c:pt idx="123">
                  <c:v>23.94311697409442</c:v>
                </c:pt>
                <c:pt idx="124">
                  <c:v>24.71085128723773</c:v>
                </c:pt>
                <c:pt idx="125">
                  <c:v>24.86001869618469</c:v>
                </c:pt>
                <c:pt idx="126">
                  <c:v>26.33017825551762</c:v>
                </c:pt>
                <c:pt idx="127">
                  <c:v>26.87594756717637</c:v>
                </c:pt>
                <c:pt idx="128">
                  <c:v>27.93226073832146</c:v>
                </c:pt>
                <c:pt idx="129">
                  <c:v>28.09938398468429</c:v>
                </c:pt>
                <c:pt idx="130">
                  <c:v>29.53077872933987</c:v>
                </c:pt>
                <c:pt idx="131">
                  <c:v>30.95080584824664</c:v>
                </c:pt>
                <c:pt idx="132">
                  <c:v>31.62196319392703</c:v>
                </c:pt>
                <c:pt idx="133">
                  <c:v>32.29703501771436</c:v>
                </c:pt>
                <c:pt idx="134">
                  <c:v>32.90610648226604</c:v>
                </c:pt>
                <c:pt idx="135">
                  <c:v>34.23384016089198</c:v>
                </c:pt>
                <c:pt idx="136">
                  <c:v>35.44298418159086</c:v>
                </c:pt>
                <c:pt idx="137">
                  <c:v>36.70109890890634</c:v>
                </c:pt>
                <c:pt idx="138">
                  <c:v>36.30299313972345</c:v>
                </c:pt>
                <c:pt idx="139">
                  <c:v>36.49062565990196</c:v>
                </c:pt>
                <c:pt idx="140">
                  <c:v>36.63643683278417</c:v>
                </c:pt>
                <c:pt idx="141">
                  <c:v>37.41315962330987</c:v>
                </c:pt>
                <c:pt idx="142">
                  <c:v>37.60527643745223</c:v>
                </c:pt>
                <c:pt idx="143">
                  <c:v>38.05000464460103</c:v>
                </c:pt>
                <c:pt idx="144">
                  <c:v>38.15992160063252</c:v>
                </c:pt>
                <c:pt idx="145">
                  <c:v>38.69021628434953</c:v>
                </c:pt>
                <c:pt idx="146">
                  <c:v>39.48084885498598</c:v>
                </c:pt>
                <c:pt idx="147">
                  <c:v>40.44441269669261</c:v>
                </c:pt>
                <c:pt idx="148">
                  <c:v>41.03440735367509</c:v>
                </c:pt>
                <c:pt idx="149">
                  <c:v>41.83789998860514</c:v>
                </c:pt>
                <c:pt idx="150">
                  <c:v>42.68791887240233</c:v>
                </c:pt>
                <c:pt idx="151">
                  <c:v>45.01736791680594</c:v>
                </c:pt>
                <c:pt idx="152">
                  <c:v>46.73047485543042</c:v>
                </c:pt>
                <c:pt idx="153">
                  <c:v>49.17085502353745</c:v>
                </c:pt>
                <c:pt idx="154">
                  <c:v>49.85787520624733</c:v>
                </c:pt>
                <c:pt idx="155">
                  <c:v>50.04241190119223</c:v>
                </c:pt>
                <c:pt idx="156">
                  <c:v>49.2572161057043</c:v>
                </c:pt>
                <c:pt idx="157">
                  <c:v>49.22260894081661</c:v>
                </c:pt>
                <c:pt idx="158">
                  <c:v>49.56502122180502</c:v>
                </c:pt>
                <c:pt idx="159">
                  <c:v>51.6777311338456</c:v>
                </c:pt>
                <c:pt idx="160">
                  <c:v>54.30986217930614</c:v>
                </c:pt>
                <c:pt idx="161">
                  <c:v>57.1702332276362</c:v>
                </c:pt>
                <c:pt idx="162">
                  <c:v>59.45984743874009</c:v>
                </c:pt>
                <c:pt idx="163">
                  <c:v>61.00577354154762</c:v>
                </c:pt>
                <c:pt idx="164">
                  <c:v>60.53831543214328</c:v>
                </c:pt>
                <c:pt idx="165">
                  <c:v>61.4553530249828</c:v>
                </c:pt>
                <c:pt idx="166">
                  <c:v>61.365541681664</c:v>
                </c:pt>
                <c:pt idx="167">
                  <c:v>61.18832372249594</c:v>
                </c:pt>
                <c:pt idx="168">
                  <c:v>60.58599176806106</c:v>
                </c:pt>
                <c:pt idx="169">
                  <c:v>60.35597435793144</c:v>
                </c:pt>
                <c:pt idx="170">
                  <c:v>60.41682441824755</c:v>
                </c:pt>
                <c:pt idx="171">
                  <c:v>60.68646755494041</c:v>
                </c:pt>
                <c:pt idx="172">
                  <c:v>60.70298698712245</c:v>
                </c:pt>
                <c:pt idx="173">
                  <c:v>61.77068598359686</c:v>
                </c:pt>
                <c:pt idx="174">
                  <c:v>62.25414075834202</c:v>
                </c:pt>
                <c:pt idx="175">
                  <c:v>63.37087528452132</c:v>
                </c:pt>
                <c:pt idx="176">
                  <c:v>65.04132444890356</c:v>
                </c:pt>
                <c:pt idx="177">
                  <c:v>66.974620781043</c:v>
                </c:pt>
                <c:pt idx="178">
                  <c:v>67.74005598993346</c:v>
                </c:pt>
                <c:pt idx="179">
                  <c:v>68.67716782947518</c:v>
                </c:pt>
                <c:pt idx="180">
                  <c:v>69.45013088087894</c:v>
                </c:pt>
                <c:pt idx="181">
                  <c:v>70.68971561474112</c:v>
                </c:pt>
                <c:pt idx="182">
                  <c:v>71.34599710718823</c:v>
                </c:pt>
                <c:pt idx="183">
                  <c:v>73.7741445312111</c:v>
                </c:pt>
                <c:pt idx="184">
                  <c:v>75.62777119675111</c:v>
                </c:pt>
                <c:pt idx="185">
                  <c:v>76.86035085494116</c:v>
                </c:pt>
                <c:pt idx="186">
                  <c:v>77.67785364121546</c:v>
                </c:pt>
              </c:numCache>
            </c:numRef>
          </c:val>
          <c:smooth val="0"/>
        </c:ser>
        <c:ser>
          <c:idx val="2"/>
          <c:order val="2"/>
          <c:tx>
            <c:v>Melbourne Residential Property - Return (pre-tax)</c:v>
          </c:tx>
          <c:spPr>
            <a:ln>
              <a:solidFill>
                <a:srgbClr val="62FD32"/>
              </a:solidFill>
            </a:ln>
          </c:spPr>
          <c:marker>
            <c:symbol val="none"/>
          </c:marker>
          <c:cat>
            <c:numRef>
              <c:f>Sheet1!$AE$20:$AE$206</c:f>
              <c:numCache>
                <c:formatCode>m/d/yy</c:formatCode>
                <c:ptCount val="187"/>
                <c:pt idx="0">
                  <c:v>25628.0</c:v>
                </c:pt>
                <c:pt idx="2">
                  <c:v>25720.0</c:v>
                </c:pt>
                <c:pt idx="3">
                  <c:v>25812.0</c:v>
                </c:pt>
                <c:pt idx="4">
                  <c:v>25903.0</c:v>
                </c:pt>
                <c:pt idx="5">
                  <c:v>25993.0</c:v>
                </c:pt>
                <c:pt idx="7">
                  <c:v>26085.0</c:v>
                </c:pt>
                <c:pt idx="8">
                  <c:v>26177.0</c:v>
                </c:pt>
                <c:pt idx="9">
                  <c:v>26268.0</c:v>
                </c:pt>
                <c:pt idx="10">
                  <c:v>26359.0</c:v>
                </c:pt>
                <c:pt idx="11">
                  <c:v>26451.0</c:v>
                </c:pt>
                <c:pt idx="12">
                  <c:v>26543.0</c:v>
                </c:pt>
                <c:pt idx="13">
                  <c:v>26634.0</c:v>
                </c:pt>
                <c:pt idx="14">
                  <c:v>26724.0</c:v>
                </c:pt>
                <c:pt idx="15">
                  <c:v>26816.0</c:v>
                </c:pt>
                <c:pt idx="16">
                  <c:v>26908.0</c:v>
                </c:pt>
                <c:pt idx="17">
                  <c:v>26999.0</c:v>
                </c:pt>
                <c:pt idx="18">
                  <c:v>27089.0</c:v>
                </c:pt>
                <c:pt idx="19">
                  <c:v>27181.0</c:v>
                </c:pt>
                <c:pt idx="20">
                  <c:v>27273.0</c:v>
                </c:pt>
                <c:pt idx="21">
                  <c:v>27364.0</c:v>
                </c:pt>
                <c:pt idx="22">
                  <c:v>27454.0</c:v>
                </c:pt>
                <c:pt idx="23">
                  <c:v>27546.0</c:v>
                </c:pt>
                <c:pt idx="24">
                  <c:v>27638.0</c:v>
                </c:pt>
                <c:pt idx="25">
                  <c:v>27729.0</c:v>
                </c:pt>
                <c:pt idx="26">
                  <c:v>27820.0</c:v>
                </c:pt>
                <c:pt idx="27">
                  <c:v>27912.0</c:v>
                </c:pt>
                <c:pt idx="28">
                  <c:v>28004.0</c:v>
                </c:pt>
                <c:pt idx="29">
                  <c:v>28095.0</c:v>
                </c:pt>
                <c:pt idx="30">
                  <c:v>28185.0</c:v>
                </c:pt>
                <c:pt idx="31">
                  <c:v>28277.0</c:v>
                </c:pt>
                <c:pt idx="32">
                  <c:v>28369.0</c:v>
                </c:pt>
                <c:pt idx="33">
                  <c:v>28460.0</c:v>
                </c:pt>
                <c:pt idx="34">
                  <c:v>28550.0</c:v>
                </c:pt>
                <c:pt idx="35">
                  <c:v>28642.0</c:v>
                </c:pt>
                <c:pt idx="36">
                  <c:v>28734.0</c:v>
                </c:pt>
                <c:pt idx="37">
                  <c:v>28825.0</c:v>
                </c:pt>
                <c:pt idx="38">
                  <c:v>28915.0</c:v>
                </c:pt>
                <c:pt idx="39">
                  <c:v>29007.0</c:v>
                </c:pt>
                <c:pt idx="40">
                  <c:v>29099.0</c:v>
                </c:pt>
                <c:pt idx="41">
                  <c:v>29190.0</c:v>
                </c:pt>
                <c:pt idx="42">
                  <c:v>29281.0</c:v>
                </c:pt>
                <c:pt idx="43">
                  <c:v>29373.0</c:v>
                </c:pt>
                <c:pt idx="44">
                  <c:v>29465.0</c:v>
                </c:pt>
                <c:pt idx="45">
                  <c:v>29556.0</c:v>
                </c:pt>
                <c:pt idx="46">
                  <c:v>29646.0</c:v>
                </c:pt>
                <c:pt idx="47">
                  <c:v>29738.0</c:v>
                </c:pt>
                <c:pt idx="48">
                  <c:v>29830.0</c:v>
                </c:pt>
                <c:pt idx="49">
                  <c:v>29921.0</c:v>
                </c:pt>
                <c:pt idx="50">
                  <c:v>30011.0</c:v>
                </c:pt>
                <c:pt idx="51">
                  <c:v>30103.0</c:v>
                </c:pt>
                <c:pt idx="52">
                  <c:v>30195.0</c:v>
                </c:pt>
                <c:pt idx="53">
                  <c:v>30286.0</c:v>
                </c:pt>
                <c:pt idx="54">
                  <c:v>30376.0</c:v>
                </c:pt>
                <c:pt idx="55">
                  <c:v>30468.0</c:v>
                </c:pt>
                <c:pt idx="56">
                  <c:v>30560.0</c:v>
                </c:pt>
                <c:pt idx="57">
                  <c:v>30651.0</c:v>
                </c:pt>
                <c:pt idx="58">
                  <c:v>30742.0</c:v>
                </c:pt>
                <c:pt idx="59">
                  <c:v>30834.0</c:v>
                </c:pt>
                <c:pt idx="60">
                  <c:v>30926.0</c:v>
                </c:pt>
                <c:pt idx="61">
                  <c:v>31017.0</c:v>
                </c:pt>
                <c:pt idx="62">
                  <c:v>31107.0</c:v>
                </c:pt>
                <c:pt idx="63">
                  <c:v>31199.0</c:v>
                </c:pt>
                <c:pt idx="64">
                  <c:v>31291.0</c:v>
                </c:pt>
                <c:pt idx="65">
                  <c:v>31382.0</c:v>
                </c:pt>
                <c:pt idx="66">
                  <c:v>31472.0</c:v>
                </c:pt>
                <c:pt idx="67">
                  <c:v>31564.0</c:v>
                </c:pt>
                <c:pt idx="68">
                  <c:v>31656.0</c:v>
                </c:pt>
                <c:pt idx="69">
                  <c:v>31747.0</c:v>
                </c:pt>
                <c:pt idx="70">
                  <c:v>31837.0</c:v>
                </c:pt>
                <c:pt idx="71">
                  <c:v>31929.0</c:v>
                </c:pt>
                <c:pt idx="72">
                  <c:v>32021.0</c:v>
                </c:pt>
                <c:pt idx="73">
                  <c:v>32112.0</c:v>
                </c:pt>
                <c:pt idx="74">
                  <c:v>32203.0</c:v>
                </c:pt>
                <c:pt idx="75">
                  <c:v>32295.0</c:v>
                </c:pt>
                <c:pt idx="76">
                  <c:v>32387.0</c:v>
                </c:pt>
                <c:pt idx="77">
                  <c:v>32478.0</c:v>
                </c:pt>
                <c:pt idx="78">
                  <c:v>32568.0</c:v>
                </c:pt>
                <c:pt idx="79">
                  <c:v>32660.0</c:v>
                </c:pt>
                <c:pt idx="80">
                  <c:v>32752.0</c:v>
                </c:pt>
                <c:pt idx="81">
                  <c:v>32843.0</c:v>
                </c:pt>
                <c:pt idx="82">
                  <c:v>32933.0</c:v>
                </c:pt>
                <c:pt idx="83">
                  <c:v>33025.0</c:v>
                </c:pt>
                <c:pt idx="84">
                  <c:v>33117.0</c:v>
                </c:pt>
                <c:pt idx="85">
                  <c:v>33208.0</c:v>
                </c:pt>
                <c:pt idx="86">
                  <c:v>33298.0</c:v>
                </c:pt>
                <c:pt idx="87">
                  <c:v>33390.0</c:v>
                </c:pt>
                <c:pt idx="88">
                  <c:v>33482.0</c:v>
                </c:pt>
                <c:pt idx="89">
                  <c:v>33573.0</c:v>
                </c:pt>
                <c:pt idx="90">
                  <c:v>33664.0</c:v>
                </c:pt>
                <c:pt idx="91">
                  <c:v>33756.0</c:v>
                </c:pt>
                <c:pt idx="92">
                  <c:v>33848.0</c:v>
                </c:pt>
                <c:pt idx="93">
                  <c:v>33939.0</c:v>
                </c:pt>
                <c:pt idx="94">
                  <c:v>34029.0</c:v>
                </c:pt>
                <c:pt idx="95">
                  <c:v>34121.0</c:v>
                </c:pt>
                <c:pt idx="96">
                  <c:v>34213.0</c:v>
                </c:pt>
                <c:pt idx="97">
                  <c:v>34304.0</c:v>
                </c:pt>
                <c:pt idx="98">
                  <c:v>34394.0</c:v>
                </c:pt>
                <c:pt idx="99">
                  <c:v>34486.0</c:v>
                </c:pt>
                <c:pt idx="100">
                  <c:v>34578.0</c:v>
                </c:pt>
                <c:pt idx="101">
                  <c:v>34669.0</c:v>
                </c:pt>
                <c:pt idx="102">
                  <c:v>34759.0</c:v>
                </c:pt>
                <c:pt idx="103">
                  <c:v>34851.0</c:v>
                </c:pt>
                <c:pt idx="104">
                  <c:v>34943.0</c:v>
                </c:pt>
                <c:pt idx="105">
                  <c:v>35034.0</c:v>
                </c:pt>
                <c:pt idx="106">
                  <c:v>35125.0</c:v>
                </c:pt>
                <c:pt idx="107">
                  <c:v>35217.0</c:v>
                </c:pt>
                <c:pt idx="108">
                  <c:v>35309.0</c:v>
                </c:pt>
                <c:pt idx="109">
                  <c:v>35400.0</c:v>
                </c:pt>
                <c:pt idx="110">
                  <c:v>35490.0</c:v>
                </c:pt>
                <c:pt idx="111">
                  <c:v>35582.0</c:v>
                </c:pt>
                <c:pt idx="112">
                  <c:v>35674.0</c:v>
                </c:pt>
                <c:pt idx="113">
                  <c:v>35765.0</c:v>
                </c:pt>
                <c:pt idx="114">
                  <c:v>35855.0</c:v>
                </c:pt>
                <c:pt idx="115">
                  <c:v>35947.0</c:v>
                </c:pt>
                <c:pt idx="116">
                  <c:v>36039.0</c:v>
                </c:pt>
                <c:pt idx="117">
                  <c:v>36130.0</c:v>
                </c:pt>
                <c:pt idx="118">
                  <c:v>36220.0</c:v>
                </c:pt>
                <c:pt idx="119">
                  <c:v>36312.0</c:v>
                </c:pt>
                <c:pt idx="120">
                  <c:v>36404.0</c:v>
                </c:pt>
                <c:pt idx="121">
                  <c:v>36495.0</c:v>
                </c:pt>
                <c:pt idx="122">
                  <c:v>36586.0</c:v>
                </c:pt>
                <c:pt idx="123">
                  <c:v>36678.0</c:v>
                </c:pt>
                <c:pt idx="124">
                  <c:v>36770.0</c:v>
                </c:pt>
                <c:pt idx="125">
                  <c:v>36861.0</c:v>
                </c:pt>
                <c:pt idx="126">
                  <c:v>36951.0</c:v>
                </c:pt>
                <c:pt idx="127">
                  <c:v>37043.0</c:v>
                </c:pt>
                <c:pt idx="128">
                  <c:v>37135.0</c:v>
                </c:pt>
                <c:pt idx="129">
                  <c:v>37226.0</c:v>
                </c:pt>
                <c:pt idx="130">
                  <c:v>37316.0</c:v>
                </c:pt>
                <c:pt idx="131">
                  <c:v>37408.0</c:v>
                </c:pt>
                <c:pt idx="132">
                  <c:v>37500.0</c:v>
                </c:pt>
                <c:pt idx="133">
                  <c:v>37591.0</c:v>
                </c:pt>
                <c:pt idx="134">
                  <c:v>37681.0</c:v>
                </c:pt>
                <c:pt idx="135">
                  <c:v>37773.0</c:v>
                </c:pt>
                <c:pt idx="136">
                  <c:v>37865.0</c:v>
                </c:pt>
                <c:pt idx="137">
                  <c:v>37956.0</c:v>
                </c:pt>
                <c:pt idx="138">
                  <c:v>38047.0</c:v>
                </c:pt>
                <c:pt idx="139">
                  <c:v>38139.0</c:v>
                </c:pt>
                <c:pt idx="140">
                  <c:v>38231.0</c:v>
                </c:pt>
                <c:pt idx="141">
                  <c:v>38322.0</c:v>
                </c:pt>
                <c:pt idx="142">
                  <c:v>38412.0</c:v>
                </c:pt>
                <c:pt idx="143">
                  <c:v>38504.0</c:v>
                </c:pt>
                <c:pt idx="144">
                  <c:v>38596.0</c:v>
                </c:pt>
                <c:pt idx="145">
                  <c:v>38687.0</c:v>
                </c:pt>
                <c:pt idx="146">
                  <c:v>38777.0</c:v>
                </c:pt>
                <c:pt idx="147">
                  <c:v>38869.0</c:v>
                </c:pt>
                <c:pt idx="148">
                  <c:v>38961.0</c:v>
                </c:pt>
                <c:pt idx="149">
                  <c:v>39052.0</c:v>
                </c:pt>
                <c:pt idx="150">
                  <c:v>39142.0</c:v>
                </c:pt>
                <c:pt idx="151">
                  <c:v>39234.0</c:v>
                </c:pt>
                <c:pt idx="152">
                  <c:v>39326.0</c:v>
                </c:pt>
                <c:pt idx="153">
                  <c:v>39417.0</c:v>
                </c:pt>
                <c:pt idx="154">
                  <c:v>39508.0</c:v>
                </c:pt>
                <c:pt idx="155">
                  <c:v>39600.0</c:v>
                </c:pt>
                <c:pt idx="156">
                  <c:v>39692.0</c:v>
                </c:pt>
                <c:pt idx="157">
                  <c:v>39783.0</c:v>
                </c:pt>
                <c:pt idx="158">
                  <c:v>39873.0</c:v>
                </c:pt>
                <c:pt idx="159">
                  <c:v>39965.0</c:v>
                </c:pt>
                <c:pt idx="160">
                  <c:v>40057.0</c:v>
                </c:pt>
                <c:pt idx="161">
                  <c:v>40148.0</c:v>
                </c:pt>
                <c:pt idx="162">
                  <c:v>40238.0</c:v>
                </c:pt>
                <c:pt idx="163">
                  <c:v>40330.0</c:v>
                </c:pt>
                <c:pt idx="164">
                  <c:v>40422.0</c:v>
                </c:pt>
                <c:pt idx="165">
                  <c:v>40513.0</c:v>
                </c:pt>
                <c:pt idx="166">
                  <c:v>40603.0</c:v>
                </c:pt>
                <c:pt idx="167">
                  <c:v>40695.0</c:v>
                </c:pt>
                <c:pt idx="168">
                  <c:v>40787.0</c:v>
                </c:pt>
                <c:pt idx="169">
                  <c:v>40878.0</c:v>
                </c:pt>
                <c:pt idx="170">
                  <c:v>40969.0</c:v>
                </c:pt>
                <c:pt idx="171">
                  <c:v>41061.0</c:v>
                </c:pt>
                <c:pt idx="172">
                  <c:v>41153.0</c:v>
                </c:pt>
                <c:pt idx="173">
                  <c:v>41244.0</c:v>
                </c:pt>
                <c:pt idx="174">
                  <c:v>41334.0</c:v>
                </c:pt>
                <c:pt idx="175">
                  <c:v>41426.0</c:v>
                </c:pt>
                <c:pt idx="176">
                  <c:v>41518.0</c:v>
                </c:pt>
                <c:pt idx="177">
                  <c:v>41609.0</c:v>
                </c:pt>
                <c:pt idx="178">
                  <c:v>41699.0</c:v>
                </c:pt>
                <c:pt idx="179">
                  <c:v>41791.0</c:v>
                </c:pt>
                <c:pt idx="180">
                  <c:v>41883.0</c:v>
                </c:pt>
                <c:pt idx="181">
                  <c:v>41974.0</c:v>
                </c:pt>
                <c:pt idx="182">
                  <c:v>42064.0</c:v>
                </c:pt>
                <c:pt idx="183">
                  <c:v>42156.0</c:v>
                </c:pt>
                <c:pt idx="184">
                  <c:v>42248.0</c:v>
                </c:pt>
                <c:pt idx="185">
                  <c:v>42339.0</c:v>
                </c:pt>
                <c:pt idx="186">
                  <c:v>42430.0</c:v>
                </c:pt>
              </c:numCache>
            </c:numRef>
          </c:cat>
          <c:val>
            <c:numRef>
              <c:f>Sheet1!$AH$20:$AH$206</c:f>
              <c:numCache>
                <c:formatCode>_-* #,##0.0_-;\-* #,##0.0_-;_-* "-"??_-;_-@_-</c:formatCode>
                <c:ptCount val="187"/>
                <c:pt idx="0">
                  <c:v>0.9</c:v>
                </c:pt>
                <c:pt idx="2">
                  <c:v>0.915173621782301</c:v>
                </c:pt>
                <c:pt idx="3">
                  <c:v>0.940028695406445</c:v>
                </c:pt>
                <c:pt idx="4">
                  <c:v>0.94261536047952</c:v>
                </c:pt>
                <c:pt idx="5">
                  <c:v>0.967330003824448</c:v>
                </c:pt>
                <c:pt idx="7">
                  <c:v>0.969776238618308</c:v>
                </c:pt>
                <c:pt idx="8">
                  <c:v>1.031750940083308</c:v>
                </c:pt>
                <c:pt idx="9">
                  <c:v>1.034343218745458</c:v>
                </c:pt>
                <c:pt idx="10">
                  <c:v>1.09644999484713</c:v>
                </c:pt>
                <c:pt idx="11">
                  <c:v>1.09917434814595</c:v>
                </c:pt>
                <c:pt idx="12">
                  <c:v>1.280481866381133</c:v>
                </c:pt>
                <c:pt idx="13">
                  <c:v>1.283642116207766</c:v>
                </c:pt>
                <c:pt idx="14">
                  <c:v>1.464924546327331</c:v>
                </c:pt>
                <c:pt idx="15">
                  <c:v>1.468059708038345</c:v>
                </c:pt>
                <c:pt idx="16">
                  <c:v>1.683196024261099</c:v>
                </c:pt>
                <c:pt idx="17">
                  <c:v>1.6867824592487</c:v>
                </c:pt>
                <c:pt idx="18">
                  <c:v>1.901396393304189</c:v>
                </c:pt>
                <c:pt idx="19">
                  <c:v>1.904460446124526</c:v>
                </c:pt>
                <c:pt idx="20">
                  <c:v>2.026481598845172</c:v>
                </c:pt>
                <c:pt idx="21">
                  <c:v>2.029737905960117</c:v>
                </c:pt>
                <c:pt idx="22">
                  <c:v>2.152726419073809</c:v>
                </c:pt>
                <c:pt idx="23">
                  <c:v>2.156950086581801</c:v>
                </c:pt>
                <c:pt idx="24">
                  <c:v>2.317361662789322</c:v>
                </c:pt>
                <c:pt idx="25">
                  <c:v>2.321894379139362</c:v>
                </c:pt>
                <c:pt idx="26">
                  <c:v>2.483442262085412</c:v>
                </c:pt>
                <c:pt idx="27">
                  <c:v>2.489111285173982</c:v>
                </c:pt>
                <c:pt idx="28">
                  <c:v>2.647301003695815</c:v>
                </c:pt>
                <c:pt idx="29">
                  <c:v>2.653323263785343</c:v>
                </c:pt>
                <c:pt idx="30">
                  <c:v>2.813106687075908</c:v>
                </c:pt>
                <c:pt idx="31">
                  <c:v>2.820722651934169</c:v>
                </c:pt>
                <c:pt idx="32">
                  <c:v>2.850668776409917</c:v>
                </c:pt>
                <c:pt idx="33">
                  <c:v>2.858346492334597</c:v>
                </c:pt>
                <c:pt idx="34">
                  <c:v>2.889790032374361</c:v>
                </c:pt>
                <c:pt idx="35">
                  <c:v>2.898965163863056</c:v>
                </c:pt>
                <c:pt idx="36">
                  <c:v>2.92303470494336</c:v>
                </c:pt>
                <c:pt idx="37">
                  <c:v>2.932258640322952</c:v>
                </c:pt>
                <c:pt idx="38">
                  <c:v>2.956801649935374</c:v>
                </c:pt>
                <c:pt idx="39">
                  <c:v>2.966499053847084</c:v>
                </c:pt>
                <c:pt idx="40">
                  <c:v>3.032058875266301</c:v>
                </c:pt>
                <c:pt idx="41">
                  <c:v>3.041947675307847</c:v>
                </c:pt>
                <c:pt idx="42">
                  <c:v>3.107441393354056</c:v>
                </c:pt>
                <c:pt idx="43">
                  <c:v>3.117264090022594</c:v>
                </c:pt>
                <c:pt idx="44">
                  <c:v>3.294659371520456</c:v>
                </c:pt>
                <c:pt idx="45">
                  <c:v>3.305041588885302</c:v>
                </c:pt>
                <c:pt idx="46">
                  <c:v>3.482422721300985</c:v>
                </c:pt>
                <c:pt idx="47">
                  <c:v>3.492790789583651</c:v>
                </c:pt>
                <c:pt idx="48">
                  <c:v>3.605546399192549</c:v>
                </c:pt>
                <c:pt idx="49">
                  <c:v>3.616238469609047</c:v>
                </c:pt>
                <c:pt idx="50">
                  <c:v>3.730537129631068</c:v>
                </c:pt>
                <c:pt idx="51">
                  <c:v>3.742772250460692</c:v>
                </c:pt>
                <c:pt idx="52">
                  <c:v>3.969165380454853</c:v>
                </c:pt>
                <c:pt idx="53">
                  <c:v>3.98215292850127</c:v>
                </c:pt>
                <c:pt idx="54">
                  <c:v>4.210960824274896</c:v>
                </c:pt>
                <c:pt idx="55">
                  <c:v>4.226363138100778</c:v>
                </c:pt>
                <c:pt idx="56">
                  <c:v>4.707524238862724</c:v>
                </c:pt>
                <c:pt idx="57">
                  <c:v>4.724760161477401</c:v>
                </c:pt>
                <c:pt idx="58">
                  <c:v>5.207210070995</c:v>
                </c:pt>
                <c:pt idx="59">
                  <c:v>5.225734802365329</c:v>
                </c:pt>
                <c:pt idx="60">
                  <c:v>5.624275958026732</c:v>
                </c:pt>
                <c:pt idx="61">
                  <c:v>5.644254168319963</c:v>
                </c:pt>
                <c:pt idx="62">
                  <c:v>6.04333838151555</c:v>
                </c:pt>
                <c:pt idx="63">
                  <c:v>6.063859649342964</c:v>
                </c:pt>
                <c:pt idx="64">
                  <c:v>6.337684037361923</c:v>
                </c:pt>
                <c:pt idx="65">
                  <c:v>6.35913312846877</c:v>
                </c:pt>
                <c:pt idx="66">
                  <c:v>6.63640538915124</c:v>
                </c:pt>
                <c:pt idx="67">
                  <c:v>6.661302352921597</c:v>
                </c:pt>
                <c:pt idx="68">
                  <c:v>6.965693004240543</c:v>
                </c:pt>
                <c:pt idx="69">
                  <c:v>6.991728548671128</c:v>
                </c:pt>
                <c:pt idx="70">
                  <c:v>7.293423692211927</c:v>
                </c:pt>
                <c:pt idx="71">
                  <c:v>7.31676372886436</c:v>
                </c:pt>
                <c:pt idx="72">
                  <c:v>8.066369673117725</c:v>
                </c:pt>
                <c:pt idx="73">
                  <c:v>8.092252339461346</c:v>
                </c:pt>
                <c:pt idx="74">
                  <c:v>8.845009971904486</c:v>
                </c:pt>
                <c:pt idx="75">
                  <c:v>8.874044326437887</c:v>
                </c:pt>
                <c:pt idx="76">
                  <c:v>9.759764266350652</c:v>
                </c:pt>
                <c:pt idx="77">
                  <c:v>9.791861878472437</c:v>
                </c:pt>
                <c:pt idx="78">
                  <c:v>10.67130245386675</c:v>
                </c:pt>
                <c:pt idx="79">
                  <c:v>10.69712070147009</c:v>
                </c:pt>
                <c:pt idx="80">
                  <c:v>10.68572713842922</c:v>
                </c:pt>
                <c:pt idx="81">
                  <c:v>10.71144758964012</c:v>
                </c:pt>
                <c:pt idx="82">
                  <c:v>10.70227419137346</c:v>
                </c:pt>
                <c:pt idx="83">
                  <c:v>10.73021480735859</c:v>
                </c:pt>
                <c:pt idx="84">
                  <c:v>10.60927279204674</c:v>
                </c:pt>
                <c:pt idx="85">
                  <c:v>10.63678683374201</c:v>
                </c:pt>
                <c:pt idx="86">
                  <c:v>10.51719233655593</c:v>
                </c:pt>
                <c:pt idx="87">
                  <c:v>10.62050918125709</c:v>
                </c:pt>
                <c:pt idx="88">
                  <c:v>10.50068742769447</c:v>
                </c:pt>
                <c:pt idx="89">
                  <c:v>10.52932173113897</c:v>
                </c:pt>
                <c:pt idx="90">
                  <c:v>10.48268587785892</c:v>
                </c:pt>
                <c:pt idx="91">
                  <c:v>10.51027805308244</c:v>
                </c:pt>
                <c:pt idx="92">
                  <c:v>10.57509461125863</c:v>
                </c:pt>
                <c:pt idx="93">
                  <c:v>10.60279715518304</c:v>
                </c:pt>
                <c:pt idx="94">
                  <c:v>10.66631598351292</c:v>
                </c:pt>
                <c:pt idx="95">
                  <c:v>10.69272079759102</c:v>
                </c:pt>
                <c:pt idx="96">
                  <c:v>10.86800079270923</c:v>
                </c:pt>
                <c:pt idx="97">
                  <c:v>10.89482473082032</c:v>
                </c:pt>
                <c:pt idx="98">
                  <c:v>11.06894998320911</c:v>
                </c:pt>
                <c:pt idx="99">
                  <c:v>11.09461917859076</c:v>
                </c:pt>
                <c:pt idx="100">
                  <c:v>11.08307563204609</c:v>
                </c:pt>
                <c:pt idx="101">
                  <c:v>11.1086460997532</c:v>
                </c:pt>
                <c:pt idx="102">
                  <c:v>11.09676355475014</c:v>
                </c:pt>
                <c:pt idx="103">
                  <c:v>11.12199502399886</c:v>
                </c:pt>
                <c:pt idx="104">
                  <c:v>11.22165011453602</c:v>
                </c:pt>
                <c:pt idx="105">
                  <c:v>11.26940426295614</c:v>
                </c:pt>
                <c:pt idx="106">
                  <c:v>11.34771852546394</c:v>
                </c:pt>
                <c:pt idx="107">
                  <c:v>11.37407316801925</c:v>
                </c:pt>
                <c:pt idx="108">
                  <c:v>11.80978845997052</c:v>
                </c:pt>
                <c:pt idx="109">
                  <c:v>11.85957835784652</c:v>
                </c:pt>
                <c:pt idx="110">
                  <c:v>12.27452846005107</c:v>
                </c:pt>
                <c:pt idx="111">
                  <c:v>12.52678882251932</c:v>
                </c:pt>
                <c:pt idx="112">
                  <c:v>12.81687710937281</c:v>
                </c:pt>
                <c:pt idx="113">
                  <c:v>12.84716729646383</c:v>
                </c:pt>
                <c:pt idx="114">
                  <c:v>13.35881157357858</c:v>
                </c:pt>
                <c:pt idx="115">
                  <c:v>13.76005452057804</c:v>
                </c:pt>
                <c:pt idx="116">
                  <c:v>14.16223818021755</c:v>
                </c:pt>
                <c:pt idx="117">
                  <c:v>14.19328169733925</c:v>
                </c:pt>
                <c:pt idx="118">
                  <c:v>14.96685718108779</c:v>
                </c:pt>
                <c:pt idx="119">
                  <c:v>15.37018667085317</c:v>
                </c:pt>
                <c:pt idx="120">
                  <c:v>15.62559659273221</c:v>
                </c:pt>
                <c:pt idx="121">
                  <c:v>15.65832242910057</c:v>
                </c:pt>
                <c:pt idx="122">
                  <c:v>16.28185625908748</c:v>
                </c:pt>
                <c:pt idx="123">
                  <c:v>16.98101804646604</c:v>
                </c:pt>
                <c:pt idx="124">
                  <c:v>17.60719618657489</c:v>
                </c:pt>
                <c:pt idx="125">
                  <c:v>17.63955009865525</c:v>
                </c:pt>
                <c:pt idx="126">
                  <c:v>18.9337008052524</c:v>
                </c:pt>
                <c:pt idx="127">
                  <c:v>19.33783237474095</c:v>
                </c:pt>
                <c:pt idx="128">
                  <c:v>20.22609570085119</c:v>
                </c:pt>
                <c:pt idx="129">
                  <c:v>20.26073669917047</c:v>
                </c:pt>
                <c:pt idx="130">
                  <c:v>21.5114544880242</c:v>
                </c:pt>
                <c:pt idx="131">
                  <c:v>22.74349701867381</c:v>
                </c:pt>
                <c:pt idx="132">
                  <c:v>23.25351963203199</c:v>
                </c:pt>
                <c:pt idx="133">
                  <c:v>23.76419520937874</c:v>
                </c:pt>
                <c:pt idx="134">
                  <c:v>24.221943251448</c:v>
                </c:pt>
                <c:pt idx="135">
                  <c:v>25.36304817070897</c:v>
                </c:pt>
                <c:pt idx="136">
                  <c:v>26.38445090378892</c:v>
                </c:pt>
                <c:pt idx="137">
                  <c:v>27.44677515606691</c:v>
                </c:pt>
                <c:pt idx="138">
                  <c:v>26.93250891128341</c:v>
                </c:pt>
                <c:pt idx="139">
                  <c:v>26.98033417970401</c:v>
                </c:pt>
                <c:pt idx="140">
                  <c:v>26.98801095472017</c:v>
                </c:pt>
                <c:pt idx="141">
                  <c:v>27.59810421393145</c:v>
                </c:pt>
                <c:pt idx="142">
                  <c:v>27.64644599123187</c:v>
                </c:pt>
                <c:pt idx="143">
                  <c:v>27.93577049373859</c:v>
                </c:pt>
                <c:pt idx="144">
                  <c:v>27.90389393975552</c:v>
                </c:pt>
                <c:pt idx="145">
                  <c:v>28.27362030310499</c:v>
                </c:pt>
                <c:pt idx="146">
                  <c:v>28.86733261373733</c:v>
                </c:pt>
                <c:pt idx="147">
                  <c:v>29.62250954210588</c:v>
                </c:pt>
                <c:pt idx="148">
                  <c:v>30.01678535189367</c:v>
                </c:pt>
                <c:pt idx="149">
                  <c:v>30.61248079635135</c:v>
                </c:pt>
                <c:pt idx="150">
                  <c:v>31.24905027097884</c:v>
                </c:pt>
                <c:pt idx="151">
                  <c:v>33.2932354706464</c:v>
                </c:pt>
                <c:pt idx="152">
                  <c:v>34.73688618836652</c:v>
                </c:pt>
                <c:pt idx="153">
                  <c:v>36.86557648808211</c:v>
                </c:pt>
                <c:pt idx="154">
                  <c:v>37.30851375598802</c:v>
                </c:pt>
                <c:pt idx="155">
                  <c:v>37.26957236480522</c:v>
                </c:pt>
                <c:pt idx="156">
                  <c:v>36.30600639737797</c:v>
                </c:pt>
                <c:pt idx="157">
                  <c:v>36.06477472740684</c:v>
                </c:pt>
                <c:pt idx="158">
                  <c:v>36.18497623631109</c:v>
                </c:pt>
                <c:pt idx="159">
                  <c:v>37.99354270938035</c:v>
                </c:pt>
                <c:pt idx="160">
                  <c:v>40.28659977389364</c:v>
                </c:pt>
                <c:pt idx="161">
                  <c:v>42.78334982160831</c:v>
                </c:pt>
                <c:pt idx="162">
                  <c:v>44.72029431019227</c:v>
                </c:pt>
                <c:pt idx="163">
                  <c:v>45.93596862190932</c:v>
                </c:pt>
                <c:pt idx="164">
                  <c:v>45.22359623697697</c:v>
                </c:pt>
                <c:pt idx="165">
                  <c:v>45.83680130203892</c:v>
                </c:pt>
                <c:pt idx="166">
                  <c:v>45.48595883421733</c:v>
                </c:pt>
                <c:pt idx="167">
                  <c:v>45.05423895017454</c:v>
                </c:pt>
                <c:pt idx="168">
                  <c:v>44.21997001149813</c:v>
                </c:pt>
                <c:pt idx="169">
                  <c:v>43.7464087149317</c:v>
                </c:pt>
                <c:pt idx="170">
                  <c:v>43.55359665749025</c:v>
                </c:pt>
                <c:pt idx="171">
                  <c:v>43.56147869795331</c:v>
                </c:pt>
                <c:pt idx="172">
                  <c:v>43.32813119416586</c:v>
                </c:pt>
                <c:pt idx="173">
                  <c:v>44.09936666960795</c:v>
                </c:pt>
                <c:pt idx="174">
                  <c:v>44.30871671385859</c:v>
                </c:pt>
                <c:pt idx="175">
                  <c:v>45.12121317241201</c:v>
                </c:pt>
                <c:pt idx="176">
                  <c:v>46.45718785698931</c:v>
                </c:pt>
                <c:pt idx="177">
                  <c:v>48.03589152846553</c:v>
                </c:pt>
                <c:pt idx="178">
                  <c:v>48.49092107579428</c:v>
                </c:pt>
                <c:pt idx="179">
                  <c:v>49.10722176438847</c:v>
                </c:pt>
                <c:pt idx="180">
                  <c:v>49.5634121705418</c:v>
                </c:pt>
                <c:pt idx="181">
                  <c:v>50.46225175561553</c:v>
                </c:pt>
                <c:pt idx="182">
                  <c:v>50.7993510168509</c:v>
                </c:pt>
                <c:pt idx="183">
                  <c:v>52.82505708783973</c:v>
                </c:pt>
                <c:pt idx="184">
                  <c:v>54.29037717028557</c:v>
                </c:pt>
                <c:pt idx="185">
                  <c:v>55.15443723401859</c:v>
                </c:pt>
                <c:pt idx="186">
                  <c:v>55.61749605488409</c:v>
                </c:pt>
              </c:numCache>
            </c:numRef>
          </c:val>
          <c:smooth val="0"/>
        </c:ser>
        <c:ser>
          <c:idx val="3"/>
          <c:order val="3"/>
          <c:tx>
            <c:v>Australian Shares - Return (pre-tax)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numRef>
              <c:f>Sheet1!$AE$20:$AE$206</c:f>
              <c:numCache>
                <c:formatCode>m/d/yy</c:formatCode>
                <c:ptCount val="187"/>
                <c:pt idx="0">
                  <c:v>25628.0</c:v>
                </c:pt>
                <c:pt idx="2">
                  <c:v>25720.0</c:v>
                </c:pt>
                <c:pt idx="3">
                  <c:v>25812.0</c:v>
                </c:pt>
                <c:pt idx="4">
                  <c:v>25903.0</c:v>
                </c:pt>
                <c:pt idx="5">
                  <c:v>25993.0</c:v>
                </c:pt>
                <c:pt idx="7">
                  <c:v>26085.0</c:v>
                </c:pt>
                <c:pt idx="8">
                  <c:v>26177.0</c:v>
                </c:pt>
                <c:pt idx="9">
                  <c:v>26268.0</c:v>
                </c:pt>
                <c:pt idx="10">
                  <c:v>26359.0</c:v>
                </c:pt>
                <c:pt idx="11">
                  <c:v>26451.0</c:v>
                </c:pt>
                <c:pt idx="12">
                  <c:v>26543.0</c:v>
                </c:pt>
                <c:pt idx="13">
                  <c:v>26634.0</c:v>
                </c:pt>
                <c:pt idx="14">
                  <c:v>26724.0</c:v>
                </c:pt>
                <c:pt idx="15">
                  <c:v>26816.0</c:v>
                </c:pt>
                <c:pt idx="16">
                  <c:v>26908.0</c:v>
                </c:pt>
                <c:pt idx="17">
                  <c:v>26999.0</c:v>
                </c:pt>
                <c:pt idx="18">
                  <c:v>27089.0</c:v>
                </c:pt>
                <c:pt idx="19">
                  <c:v>27181.0</c:v>
                </c:pt>
                <c:pt idx="20">
                  <c:v>27273.0</c:v>
                </c:pt>
                <c:pt idx="21">
                  <c:v>27364.0</c:v>
                </c:pt>
                <c:pt idx="22">
                  <c:v>27454.0</c:v>
                </c:pt>
                <c:pt idx="23">
                  <c:v>27546.0</c:v>
                </c:pt>
                <c:pt idx="24">
                  <c:v>27638.0</c:v>
                </c:pt>
                <c:pt idx="25">
                  <c:v>27729.0</c:v>
                </c:pt>
                <c:pt idx="26">
                  <c:v>27820.0</c:v>
                </c:pt>
                <c:pt idx="27">
                  <c:v>27912.0</c:v>
                </c:pt>
                <c:pt idx="28">
                  <c:v>28004.0</c:v>
                </c:pt>
                <c:pt idx="29">
                  <c:v>28095.0</c:v>
                </c:pt>
                <c:pt idx="30">
                  <c:v>28185.0</c:v>
                </c:pt>
                <c:pt idx="31">
                  <c:v>28277.0</c:v>
                </c:pt>
                <c:pt idx="32">
                  <c:v>28369.0</c:v>
                </c:pt>
                <c:pt idx="33">
                  <c:v>28460.0</c:v>
                </c:pt>
                <c:pt idx="34">
                  <c:v>28550.0</c:v>
                </c:pt>
                <c:pt idx="35">
                  <c:v>28642.0</c:v>
                </c:pt>
                <c:pt idx="36">
                  <c:v>28734.0</c:v>
                </c:pt>
                <c:pt idx="37">
                  <c:v>28825.0</c:v>
                </c:pt>
                <c:pt idx="38">
                  <c:v>28915.0</c:v>
                </c:pt>
                <c:pt idx="39">
                  <c:v>29007.0</c:v>
                </c:pt>
                <c:pt idx="40">
                  <c:v>29099.0</c:v>
                </c:pt>
                <c:pt idx="41">
                  <c:v>29190.0</c:v>
                </c:pt>
                <c:pt idx="42">
                  <c:v>29281.0</c:v>
                </c:pt>
                <c:pt idx="43">
                  <c:v>29373.0</c:v>
                </c:pt>
                <c:pt idx="44">
                  <c:v>29465.0</c:v>
                </c:pt>
                <c:pt idx="45">
                  <c:v>29556.0</c:v>
                </c:pt>
                <c:pt idx="46">
                  <c:v>29646.0</c:v>
                </c:pt>
                <c:pt idx="47">
                  <c:v>29738.0</c:v>
                </c:pt>
                <c:pt idx="48">
                  <c:v>29830.0</c:v>
                </c:pt>
                <c:pt idx="49">
                  <c:v>29921.0</c:v>
                </c:pt>
                <c:pt idx="50">
                  <c:v>30011.0</c:v>
                </c:pt>
                <c:pt idx="51">
                  <c:v>30103.0</c:v>
                </c:pt>
                <c:pt idx="52">
                  <c:v>30195.0</c:v>
                </c:pt>
                <c:pt idx="53">
                  <c:v>30286.0</c:v>
                </c:pt>
                <c:pt idx="54">
                  <c:v>30376.0</c:v>
                </c:pt>
                <c:pt idx="55">
                  <c:v>30468.0</c:v>
                </c:pt>
                <c:pt idx="56">
                  <c:v>30560.0</c:v>
                </c:pt>
                <c:pt idx="57">
                  <c:v>30651.0</c:v>
                </c:pt>
                <c:pt idx="58">
                  <c:v>30742.0</c:v>
                </c:pt>
                <c:pt idx="59">
                  <c:v>30834.0</c:v>
                </c:pt>
                <c:pt idx="60">
                  <c:v>30926.0</c:v>
                </c:pt>
                <c:pt idx="61">
                  <c:v>31017.0</c:v>
                </c:pt>
                <c:pt idx="62">
                  <c:v>31107.0</c:v>
                </c:pt>
                <c:pt idx="63">
                  <c:v>31199.0</c:v>
                </c:pt>
                <c:pt idx="64">
                  <c:v>31291.0</c:v>
                </c:pt>
                <c:pt idx="65">
                  <c:v>31382.0</c:v>
                </c:pt>
                <c:pt idx="66">
                  <c:v>31472.0</c:v>
                </c:pt>
                <c:pt idx="67">
                  <c:v>31564.0</c:v>
                </c:pt>
                <c:pt idx="68">
                  <c:v>31656.0</c:v>
                </c:pt>
                <c:pt idx="69">
                  <c:v>31747.0</c:v>
                </c:pt>
                <c:pt idx="70">
                  <c:v>31837.0</c:v>
                </c:pt>
                <c:pt idx="71">
                  <c:v>31929.0</c:v>
                </c:pt>
                <c:pt idx="72">
                  <c:v>32021.0</c:v>
                </c:pt>
                <c:pt idx="73">
                  <c:v>32112.0</c:v>
                </c:pt>
                <c:pt idx="74">
                  <c:v>32203.0</c:v>
                </c:pt>
                <c:pt idx="75">
                  <c:v>32295.0</c:v>
                </c:pt>
                <c:pt idx="76">
                  <c:v>32387.0</c:v>
                </c:pt>
                <c:pt idx="77">
                  <c:v>32478.0</c:v>
                </c:pt>
                <c:pt idx="78">
                  <c:v>32568.0</c:v>
                </c:pt>
                <c:pt idx="79">
                  <c:v>32660.0</c:v>
                </c:pt>
                <c:pt idx="80">
                  <c:v>32752.0</c:v>
                </c:pt>
                <c:pt idx="81">
                  <c:v>32843.0</c:v>
                </c:pt>
                <c:pt idx="82">
                  <c:v>32933.0</c:v>
                </c:pt>
                <c:pt idx="83">
                  <c:v>33025.0</c:v>
                </c:pt>
                <c:pt idx="84">
                  <c:v>33117.0</c:v>
                </c:pt>
                <c:pt idx="85">
                  <c:v>33208.0</c:v>
                </c:pt>
                <c:pt idx="86">
                  <c:v>33298.0</c:v>
                </c:pt>
                <c:pt idx="87">
                  <c:v>33390.0</c:v>
                </c:pt>
                <c:pt idx="88">
                  <c:v>33482.0</c:v>
                </c:pt>
                <c:pt idx="89">
                  <c:v>33573.0</c:v>
                </c:pt>
                <c:pt idx="90">
                  <c:v>33664.0</c:v>
                </c:pt>
                <c:pt idx="91">
                  <c:v>33756.0</c:v>
                </c:pt>
                <c:pt idx="92">
                  <c:v>33848.0</c:v>
                </c:pt>
                <c:pt idx="93">
                  <c:v>33939.0</c:v>
                </c:pt>
                <c:pt idx="94">
                  <c:v>34029.0</c:v>
                </c:pt>
                <c:pt idx="95">
                  <c:v>34121.0</c:v>
                </c:pt>
                <c:pt idx="96">
                  <c:v>34213.0</c:v>
                </c:pt>
                <c:pt idx="97">
                  <c:v>34304.0</c:v>
                </c:pt>
                <c:pt idx="98">
                  <c:v>34394.0</c:v>
                </c:pt>
                <c:pt idx="99">
                  <c:v>34486.0</c:v>
                </c:pt>
                <c:pt idx="100">
                  <c:v>34578.0</c:v>
                </c:pt>
                <c:pt idx="101">
                  <c:v>34669.0</c:v>
                </c:pt>
                <c:pt idx="102">
                  <c:v>34759.0</c:v>
                </c:pt>
                <c:pt idx="103">
                  <c:v>34851.0</c:v>
                </c:pt>
                <c:pt idx="104">
                  <c:v>34943.0</c:v>
                </c:pt>
                <c:pt idx="105">
                  <c:v>35034.0</c:v>
                </c:pt>
                <c:pt idx="106">
                  <c:v>35125.0</c:v>
                </c:pt>
                <c:pt idx="107">
                  <c:v>35217.0</c:v>
                </c:pt>
                <c:pt idx="108">
                  <c:v>35309.0</c:v>
                </c:pt>
                <c:pt idx="109">
                  <c:v>35400.0</c:v>
                </c:pt>
                <c:pt idx="110">
                  <c:v>35490.0</c:v>
                </c:pt>
                <c:pt idx="111">
                  <c:v>35582.0</c:v>
                </c:pt>
                <c:pt idx="112">
                  <c:v>35674.0</c:v>
                </c:pt>
                <c:pt idx="113">
                  <c:v>35765.0</c:v>
                </c:pt>
                <c:pt idx="114">
                  <c:v>35855.0</c:v>
                </c:pt>
                <c:pt idx="115">
                  <c:v>35947.0</c:v>
                </c:pt>
                <c:pt idx="116">
                  <c:v>36039.0</c:v>
                </c:pt>
                <c:pt idx="117">
                  <c:v>36130.0</c:v>
                </c:pt>
                <c:pt idx="118">
                  <c:v>36220.0</c:v>
                </c:pt>
                <c:pt idx="119">
                  <c:v>36312.0</c:v>
                </c:pt>
                <c:pt idx="120">
                  <c:v>36404.0</c:v>
                </c:pt>
                <c:pt idx="121">
                  <c:v>36495.0</c:v>
                </c:pt>
                <c:pt idx="122">
                  <c:v>36586.0</c:v>
                </c:pt>
                <c:pt idx="123">
                  <c:v>36678.0</c:v>
                </c:pt>
                <c:pt idx="124">
                  <c:v>36770.0</c:v>
                </c:pt>
                <c:pt idx="125">
                  <c:v>36861.0</c:v>
                </c:pt>
                <c:pt idx="126">
                  <c:v>36951.0</c:v>
                </c:pt>
                <c:pt idx="127">
                  <c:v>37043.0</c:v>
                </c:pt>
                <c:pt idx="128">
                  <c:v>37135.0</c:v>
                </c:pt>
                <c:pt idx="129">
                  <c:v>37226.0</c:v>
                </c:pt>
                <c:pt idx="130">
                  <c:v>37316.0</c:v>
                </c:pt>
                <c:pt idx="131">
                  <c:v>37408.0</c:v>
                </c:pt>
                <c:pt idx="132">
                  <c:v>37500.0</c:v>
                </c:pt>
                <c:pt idx="133">
                  <c:v>37591.0</c:v>
                </c:pt>
                <c:pt idx="134">
                  <c:v>37681.0</c:v>
                </c:pt>
                <c:pt idx="135">
                  <c:v>37773.0</c:v>
                </c:pt>
                <c:pt idx="136">
                  <c:v>37865.0</c:v>
                </c:pt>
                <c:pt idx="137">
                  <c:v>37956.0</c:v>
                </c:pt>
                <c:pt idx="138">
                  <c:v>38047.0</c:v>
                </c:pt>
                <c:pt idx="139">
                  <c:v>38139.0</c:v>
                </c:pt>
                <c:pt idx="140">
                  <c:v>38231.0</c:v>
                </c:pt>
                <c:pt idx="141">
                  <c:v>38322.0</c:v>
                </c:pt>
                <c:pt idx="142">
                  <c:v>38412.0</c:v>
                </c:pt>
                <c:pt idx="143">
                  <c:v>38504.0</c:v>
                </c:pt>
                <c:pt idx="144">
                  <c:v>38596.0</c:v>
                </c:pt>
                <c:pt idx="145">
                  <c:v>38687.0</c:v>
                </c:pt>
                <c:pt idx="146">
                  <c:v>38777.0</c:v>
                </c:pt>
                <c:pt idx="147">
                  <c:v>38869.0</c:v>
                </c:pt>
                <c:pt idx="148">
                  <c:v>38961.0</c:v>
                </c:pt>
                <c:pt idx="149">
                  <c:v>39052.0</c:v>
                </c:pt>
                <c:pt idx="150">
                  <c:v>39142.0</c:v>
                </c:pt>
                <c:pt idx="151">
                  <c:v>39234.0</c:v>
                </c:pt>
                <c:pt idx="152">
                  <c:v>39326.0</c:v>
                </c:pt>
                <c:pt idx="153">
                  <c:v>39417.0</c:v>
                </c:pt>
                <c:pt idx="154">
                  <c:v>39508.0</c:v>
                </c:pt>
                <c:pt idx="155">
                  <c:v>39600.0</c:v>
                </c:pt>
                <c:pt idx="156">
                  <c:v>39692.0</c:v>
                </c:pt>
                <c:pt idx="157">
                  <c:v>39783.0</c:v>
                </c:pt>
                <c:pt idx="158">
                  <c:v>39873.0</c:v>
                </c:pt>
                <c:pt idx="159">
                  <c:v>39965.0</c:v>
                </c:pt>
                <c:pt idx="160">
                  <c:v>40057.0</c:v>
                </c:pt>
                <c:pt idx="161">
                  <c:v>40148.0</c:v>
                </c:pt>
                <c:pt idx="162">
                  <c:v>40238.0</c:v>
                </c:pt>
                <c:pt idx="163">
                  <c:v>40330.0</c:v>
                </c:pt>
                <c:pt idx="164">
                  <c:v>40422.0</c:v>
                </c:pt>
                <c:pt idx="165">
                  <c:v>40513.0</c:v>
                </c:pt>
                <c:pt idx="166">
                  <c:v>40603.0</c:v>
                </c:pt>
                <c:pt idx="167">
                  <c:v>40695.0</c:v>
                </c:pt>
                <c:pt idx="168">
                  <c:v>40787.0</c:v>
                </c:pt>
                <c:pt idx="169">
                  <c:v>40878.0</c:v>
                </c:pt>
                <c:pt idx="170">
                  <c:v>40969.0</c:v>
                </c:pt>
                <c:pt idx="171">
                  <c:v>41061.0</c:v>
                </c:pt>
                <c:pt idx="172">
                  <c:v>41153.0</c:v>
                </c:pt>
                <c:pt idx="173">
                  <c:v>41244.0</c:v>
                </c:pt>
                <c:pt idx="174">
                  <c:v>41334.0</c:v>
                </c:pt>
                <c:pt idx="175">
                  <c:v>41426.0</c:v>
                </c:pt>
                <c:pt idx="176">
                  <c:v>41518.0</c:v>
                </c:pt>
                <c:pt idx="177">
                  <c:v>41609.0</c:v>
                </c:pt>
                <c:pt idx="178">
                  <c:v>41699.0</c:v>
                </c:pt>
                <c:pt idx="179">
                  <c:v>41791.0</c:v>
                </c:pt>
                <c:pt idx="180">
                  <c:v>41883.0</c:v>
                </c:pt>
                <c:pt idx="181">
                  <c:v>41974.0</c:v>
                </c:pt>
                <c:pt idx="182">
                  <c:v>42064.0</c:v>
                </c:pt>
                <c:pt idx="183">
                  <c:v>42156.0</c:v>
                </c:pt>
                <c:pt idx="184">
                  <c:v>42248.0</c:v>
                </c:pt>
                <c:pt idx="185">
                  <c:v>42339.0</c:v>
                </c:pt>
                <c:pt idx="186">
                  <c:v>42430.0</c:v>
                </c:pt>
              </c:numCache>
            </c:numRef>
          </c:cat>
          <c:val>
            <c:numRef>
              <c:f>Sheet1!$AI$20:$AI$206</c:f>
              <c:numCache>
                <c:formatCode>_-* #,##0.0_-;\-* #,##0.0_-;_-* "-"??_-;_-@_-</c:formatCode>
                <c:ptCount val="187"/>
                <c:pt idx="0">
                  <c:v>1.0</c:v>
                </c:pt>
                <c:pt idx="2">
                  <c:v>1.03</c:v>
                </c:pt>
                <c:pt idx="3">
                  <c:v>1.03</c:v>
                </c:pt>
                <c:pt idx="4">
                  <c:v>0.93035</c:v>
                </c:pt>
                <c:pt idx="5">
                  <c:v>0.93035</c:v>
                </c:pt>
                <c:pt idx="7">
                  <c:v>0.8307</c:v>
                </c:pt>
                <c:pt idx="8">
                  <c:v>0.8307</c:v>
                </c:pt>
                <c:pt idx="9">
                  <c:v>0.9003</c:v>
                </c:pt>
                <c:pt idx="10">
                  <c:v>0.9003</c:v>
                </c:pt>
                <c:pt idx="11">
                  <c:v>0.9699</c:v>
                </c:pt>
                <c:pt idx="12">
                  <c:v>0.9699</c:v>
                </c:pt>
                <c:pt idx="13">
                  <c:v>0.92535</c:v>
                </c:pt>
                <c:pt idx="14">
                  <c:v>0.92535</c:v>
                </c:pt>
                <c:pt idx="15">
                  <c:v>0.8808</c:v>
                </c:pt>
                <c:pt idx="16">
                  <c:v>0.8808</c:v>
                </c:pt>
                <c:pt idx="17">
                  <c:v>0.76055</c:v>
                </c:pt>
                <c:pt idx="18">
                  <c:v>0.76055</c:v>
                </c:pt>
                <c:pt idx="19">
                  <c:v>0.6403</c:v>
                </c:pt>
                <c:pt idx="20">
                  <c:v>0.6403</c:v>
                </c:pt>
                <c:pt idx="21">
                  <c:v>0.66705</c:v>
                </c:pt>
                <c:pt idx="22">
                  <c:v>0.66705</c:v>
                </c:pt>
                <c:pt idx="23">
                  <c:v>0.6938</c:v>
                </c:pt>
                <c:pt idx="24">
                  <c:v>0.6938</c:v>
                </c:pt>
                <c:pt idx="25">
                  <c:v>0.8497</c:v>
                </c:pt>
                <c:pt idx="26">
                  <c:v>0.8497</c:v>
                </c:pt>
                <c:pt idx="27">
                  <c:v>1.0056</c:v>
                </c:pt>
                <c:pt idx="28">
                  <c:v>1.0056</c:v>
                </c:pt>
                <c:pt idx="29">
                  <c:v>0.9683</c:v>
                </c:pt>
                <c:pt idx="30">
                  <c:v>0.9683</c:v>
                </c:pt>
                <c:pt idx="31">
                  <c:v>0.931</c:v>
                </c:pt>
                <c:pt idx="32">
                  <c:v>0.931</c:v>
                </c:pt>
                <c:pt idx="33">
                  <c:v>0.96215</c:v>
                </c:pt>
                <c:pt idx="34">
                  <c:v>0.96215</c:v>
                </c:pt>
                <c:pt idx="35">
                  <c:v>0.9933</c:v>
                </c:pt>
                <c:pt idx="36">
                  <c:v>0.9933</c:v>
                </c:pt>
                <c:pt idx="37">
                  <c:v>1.12195</c:v>
                </c:pt>
                <c:pt idx="38">
                  <c:v>1.12195</c:v>
                </c:pt>
                <c:pt idx="39">
                  <c:v>1.2506</c:v>
                </c:pt>
                <c:pt idx="40">
                  <c:v>1.2506</c:v>
                </c:pt>
                <c:pt idx="41">
                  <c:v>1.7155</c:v>
                </c:pt>
                <c:pt idx="42">
                  <c:v>1.7155</c:v>
                </c:pt>
                <c:pt idx="43">
                  <c:v>2.1804</c:v>
                </c:pt>
                <c:pt idx="44">
                  <c:v>2.1804</c:v>
                </c:pt>
                <c:pt idx="45">
                  <c:v>2.35245</c:v>
                </c:pt>
                <c:pt idx="46">
                  <c:v>2.35245</c:v>
                </c:pt>
                <c:pt idx="47">
                  <c:v>2.5245</c:v>
                </c:pt>
                <c:pt idx="48">
                  <c:v>2.5245</c:v>
                </c:pt>
                <c:pt idx="49">
                  <c:v>2.15815</c:v>
                </c:pt>
                <c:pt idx="50">
                  <c:v>2.15815</c:v>
                </c:pt>
                <c:pt idx="51">
                  <c:v>1.7918</c:v>
                </c:pt>
                <c:pt idx="52">
                  <c:v>1.7918</c:v>
                </c:pt>
                <c:pt idx="53">
                  <c:v>2.103</c:v>
                </c:pt>
                <c:pt idx="54">
                  <c:v>2.103</c:v>
                </c:pt>
                <c:pt idx="55">
                  <c:v>2.4142</c:v>
                </c:pt>
                <c:pt idx="56">
                  <c:v>2.4142</c:v>
                </c:pt>
                <c:pt idx="57">
                  <c:v>2.5768</c:v>
                </c:pt>
                <c:pt idx="58">
                  <c:v>2.5768</c:v>
                </c:pt>
                <c:pt idx="59">
                  <c:v>2.7394</c:v>
                </c:pt>
                <c:pt idx="60">
                  <c:v>2.7394</c:v>
                </c:pt>
                <c:pt idx="61">
                  <c:v>3.23885</c:v>
                </c:pt>
                <c:pt idx="62">
                  <c:v>3.23885</c:v>
                </c:pt>
                <c:pt idx="63">
                  <c:v>3.7383</c:v>
                </c:pt>
                <c:pt idx="64">
                  <c:v>3.7383</c:v>
                </c:pt>
                <c:pt idx="65">
                  <c:v>4.53285</c:v>
                </c:pt>
                <c:pt idx="66">
                  <c:v>4.53285</c:v>
                </c:pt>
                <c:pt idx="67">
                  <c:v>5.3274</c:v>
                </c:pt>
                <c:pt idx="68">
                  <c:v>5.3274</c:v>
                </c:pt>
                <c:pt idx="69">
                  <c:v>6.76615</c:v>
                </c:pt>
                <c:pt idx="70">
                  <c:v>6.76615</c:v>
                </c:pt>
                <c:pt idx="71">
                  <c:v>8.2049</c:v>
                </c:pt>
                <c:pt idx="72">
                  <c:v>8.2049</c:v>
                </c:pt>
                <c:pt idx="73">
                  <c:v>7.8519</c:v>
                </c:pt>
                <c:pt idx="74">
                  <c:v>7.8519</c:v>
                </c:pt>
                <c:pt idx="75">
                  <c:v>7.4989</c:v>
                </c:pt>
                <c:pt idx="76">
                  <c:v>7.4989</c:v>
                </c:pt>
                <c:pt idx="77">
                  <c:v>7.63085</c:v>
                </c:pt>
                <c:pt idx="78">
                  <c:v>7.63085</c:v>
                </c:pt>
                <c:pt idx="79">
                  <c:v>7.7628</c:v>
                </c:pt>
                <c:pt idx="80">
                  <c:v>7.7628</c:v>
                </c:pt>
                <c:pt idx="81">
                  <c:v>7.9215</c:v>
                </c:pt>
                <c:pt idx="82">
                  <c:v>7.9215</c:v>
                </c:pt>
                <c:pt idx="83">
                  <c:v>8.0802</c:v>
                </c:pt>
                <c:pt idx="84">
                  <c:v>8.0802</c:v>
                </c:pt>
                <c:pt idx="85">
                  <c:v>8.3168</c:v>
                </c:pt>
                <c:pt idx="86">
                  <c:v>8.3168</c:v>
                </c:pt>
                <c:pt idx="87">
                  <c:v>8.5534</c:v>
                </c:pt>
                <c:pt idx="88">
                  <c:v>8.5534</c:v>
                </c:pt>
                <c:pt idx="89">
                  <c:v>9.124700000000001</c:v>
                </c:pt>
                <c:pt idx="90">
                  <c:v>9.124700000000001</c:v>
                </c:pt>
                <c:pt idx="91">
                  <c:v>9.696</c:v>
                </c:pt>
                <c:pt idx="92">
                  <c:v>9.696</c:v>
                </c:pt>
                <c:pt idx="93">
                  <c:v>10.1765</c:v>
                </c:pt>
                <c:pt idx="94">
                  <c:v>10.1765</c:v>
                </c:pt>
                <c:pt idx="95">
                  <c:v>10.657</c:v>
                </c:pt>
                <c:pt idx="96">
                  <c:v>10.657</c:v>
                </c:pt>
                <c:pt idx="97">
                  <c:v>11.6403</c:v>
                </c:pt>
                <c:pt idx="98">
                  <c:v>11.6403</c:v>
                </c:pt>
                <c:pt idx="99">
                  <c:v>12.6236</c:v>
                </c:pt>
                <c:pt idx="100">
                  <c:v>12.6236</c:v>
                </c:pt>
                <c:pt idx="101">
                  <c:v>12.98385</c:v>
                </c:pt>
                <c:pt idx="102">
                  <c:v>12.98385</c:v>
                </c:pt>
                <c:pt idx="103">
                  <c:v>13.3441</c:v>
                </c:pt>
                <c:pt idx="104">
                  <c:v>13.3441</c:v>
                </c:pt>
                <c:pt idx="105">
                  <c:v>14.40035</c:v>
                </c:pt>
                <c:pt idx="106">
                  <c:v>14.40035</c:v>
                </c:pt>
                <c:pt idx="107">
                  <c:v>15.4566</c:v>
                </c:pt>
                <c:pt idx="108">
                  <c:v>15.4566</c:v>
                </c:pt>
                <c:pt idx="109">
                  <c:v>17.5095</c:v>
                </c:pt>
                <c:pt idx="110">
                  <c:v>17.5095</c:v>
                </c:pt>
                <c:pt idx="111">
                  <c:v>19.5624</c:v>
                </c:pt>
                <c:pt idx="112">
                  <c:v>19.5624</c:v>
                </c:pt>
                <c:pt idx="113">
                  <c:v>19.72275</c:v>
                </c:pt>
                <c:pt idx="114">
                  <c:v>19.72275</c:v>
                </c:pt>
                <c:pt idx="115">
                  <c:v>19.8831</c:v>
                </c:pt>
                <c:pt idx="116">
                  <c:v>19.8831</c:v>
                </c:pt>
                <c:pt idx="117">
                  <c:v>21.40815</c:v>
                </c:pt>
                <c:pt idx="118">
                  <c:v>21.40815</c:v>
                </c:pt>
                <c:pt idx="119">
                  <c:v>22.9332</c:v>
                </c:pt>
                <c:pt idx="120">
                  <c:v>22.9332</c:v>
                </c:pt>
                <c:pt idx="121">
                  <c:v>24.50445</c:v>
                </c:pt>
                <c:pt idx="122">
                  <c:v>24.50445</c:v>
                </c:pt>
                <c:pt idx="123">
                  <c:v>26.0757</c:v>
                </c:pt>
                <c:pt idx="124">
                  <c:v>26.0757</c:v>
                </c:pt>
                <c:pt idx="125">
                  <c:v>27.2294</c:v>
                </c:pt>
                <c:pt idx="126">
                  <c:v>27.2294</c:v>
                </c:pt>
                <c:pt idx="127">
                  <c:v>28.3831</c:v>
                </c:pt>
                <c:pt idx="128">
                  <c:v>28.3831</c:v>
                </c:pt>
                <c:pt idx="129">
                  <c:v>28.31</c:v>
                </c:pt>
                <c:pt idx="130">
                  <c:v>28.6</c:v>
                </c:pt>
                <c:pt idx="131">
                  <c:v>27.313</c:v>
                </c:pt>
                <c:pt idx="132">
                  <c:v>25.57412</c:v>
                </c:pt>
                <c:pt idx="133">
                  <c:v>26.08892</c:v>
                </c:pt>
                <c:pt idx="134">
                  <c:v>25.42826</c:v>
                </c:pt>
                <c:pt idx="135">
                  <c:v>27.01556</c:v>
                </c:pt>
                <c:pt idx="136">
                  <c:v>28.93462</c:v>
                </c:pt>
                <c:pt idx="137">
                  <c:v>30.37892</c:v>
                </c:pt>
                <c:pt idx="138">
                  <c:v>31.74028</c:v>
                </c:pt>
                <c:pt idx="139">
                  <c:v>33.0616</c:v>
                </c:pt>
                <c:pt idx="140">
                  <c:v>34.86626</c:v>
                </c:pt>
                <c:pt idx="141">
                  <c:v>38.79304</c:v>
                </c:pt>
                <c:pt idx="142">
                  <c:v>39.67964</c:v>
                </c:pt>
                <c:pt idx="143">
                  <c:v>41.2412</c:v>
                </c:pt>
                <c:pt idx="144">
                  <c:v>45.36246000000001</c:v>
                </c:pt>
                <c:pt idx="145">
                  <c:v>46.92688</c:v>
                </c:pt>
                <c:pt idx="146">
                  <c:v>51.33414</c:v>
                </c:pt>
                <c:pt idx="147">
                  <c:v>51.2226</c:v>
                </c:pt>
                <c:pt idx="148">
                  <c:v>55.22946</c:v>
                </c:pt>
                <c:pt idx="149">
                  <c:v>58.6443</c:v>
                </c:pt>
                <c:pt idx="150">
                  <c:v>62.79702</c:v>
                </c:pt>
                <c:pt idx="151">
                  <c:v>66.73237999999999</c:v>
                </c:pt>
                <c:pt idx="152">
                  <c:v>70.39031999999998</c:v>
                </c:pt>
                <c:pt idx="153">
                  <c:v>69.17196</c:v>
                </c:pt>
                <c:pt idx="154">
                  <c:v>59.01896</c:v>
                </c:pt>
                <c:pt idx="155">
                  <c:v>58.64716000000001</c:v>
                </c:pt>
                <c:pt idx="156">
                  <c:v>51.67448</c:v>
                </c:pt>
                <c:pt idx="157">
                  <c:v>41.23548</c:v>
                </c:pt>
                <c:pt idx="158">
                  <c:v>40.54908</c:v>
                </c:pt>
                <c:pt idx="159">
                  <c:v>45.6599</c:v>
                </c:pt>
                <c:pt idx="160">
                  <c:v>55.4983</c:v>
                </c:pt>
                <c:pt idx="161">
                  <c:v>57.5575</c:v>
                </c:pt>
                <c:pt idx="162">
                  <c:v>58.39262000000001</c:v>
                </c:pt>
                <c:pt idx="163">
                  <c:v>51.94904</c:v>
                </c:pt>
                <c:pt idx="164">
                  <c:v>56.45926</c:v>
                </c:pt>
                <c:pt idx="165">
                  <c:v>59.46226</c:v>
                </c:pt>
                <c:pt idx="166">
                  <c:v>61.19828</c:v>
                </c:pt>
                <c:pt idx="167">
                  <c:v>58.2725</c:v>
                </c:pt>
                <c:pt idx="168">
                  <c:v>51.70022</c:v>
                </c:pt>
                <c:pt idx="169">
                  <c:v>52.66404</c:v>
                </c:pt>
                <c:pt idx="170">
                  <c:v>57.2</c:v>
                </c:pt>
                <c:pt idx="171">
                  <c:v>54.1684</c:v>
                </c:pt>
                <c:pt idx="172">
                  <c:v>58.60998000000001</c:v>
                </c:pt>
                <c:pt idx="173">
                  <c:v>62.58538</c:v>
                </c:pt>
                <c:pt idx="174">
                  <c:v>67.61898000000001</c:v>
                </c:pt>
                <c:pt idx="175">
                  <c:v>65.3653</c:v>
                </c:pt>
                <c:pt idx="176">
                  <c:v>72.40948</c:v>
                </c:pt>
                <c:pt idx="177">
                  <c:v>74.88623999999998</c:v>
                </c:pt>
                <c:pt idx="178">
                  <c:v>76.53646</c:v>
                </c:pt>
                <c:pt idx="179">
                  <c:v>76.89682</c:v>
                </c:pt>
                <c:pt idx="180">
                  <c:v>76.67374</c:v>
                </c:pt>
                <c:pt idx="181">
                  <c:v>72.93</c:v>
                </c:pt>
                <c:pt idx="182">
                  <c:v>86.67516000000001</c:v>
                </c:pt>
                <c:pt idx="183">
                  <c:v>85.08786</c:v>
                </c:pt>
                <c:pt idx="184">
                  <c:v>80.16007999999999</c:v>
                </c:pt>
                <c:pt idx="185">
                  <c:v>85.46824</c:v>
                </c:pt>
                <c:pt idx="186">
                  <c:v>83.45766</c:v>
                </c:pt>
              </c:numCache>
            </c:numRef>
          </c:val>
          <c:smooth val="0"/>
        </c:ser>
        <c:ser>
          <c:idx val="4"/>
          <c:order val="4"/>
          <c:tx>
            <c:v>Inflation</c:v>
          </c:tx>
          <c:spPr>
            <a:ln>
              <a:prstDash val="solid"/>
            </a:ln>
          </c:spPr>
          <c:marker>
            <c:symbol val="none"/>
          </c:marker>
          <c:cat>
            <c:numRef>
              <c:f>Sheet1!$AE$20:$AE$206</c:f>
              <c:numCache>
                <c:formatCode>m/d/yy</c:formatCode>
                <c:ptCount val="187"/>
                <c:pt idx="0">
                  <c:v>25628.0</c:v>
                </c:pt>
                <c:pt idx="2">
                  <c:v>25720.0</c:v>
                </c:pt>
                <c:pt idx="3">
                  <c:v>25812.0</c:v>
                </c:pt>
                <c:pt idx="4">
                  <c:v>25903.0</c:v>
                </c:pt>
                <c:pt idx="5">
                  <c:v>25993.0</c:v>
                </c:pt>
                <c:pt idx="7">
                  <c:v>26085.0</c:v>
                </c:pt>
                <c:pt idx="8">
                  <c:v>26177.0</c:v>
                </c:pt>
                <c:pt idx="9">
                  <c:v>26268.0</c:v>
                </c:pt>
                <c:pt idx="10">
                  <c:v>26359.0</c:v>
                </c:pt>
                <c:pt idx="11">
                  <c:v>26451.0</c:v>
                </c:pt>
                <c:pt idx="12">
                  <c:v>26543.0</c:v>
                </c:pt>
                <c:pt idx="13">
                  <c:v>26634.0</c:v>
                </c:pt>
                <c:pt idx="14">
                  <c:v>26724.0</c:v>
                </c:pt>
                <c:pt idx="15">
                  <c:v>26816.0</c:v>
                </c:pt>
                <c:pt idx="16">
                  <c:v>26908.0</c:v>
                </c:pt>
                <c:pt idx="17">
                  <c:v>26999.0</c:v>
                </c:pt>
                <c:pt idx="18">
                  <c:v>27089.0</c:v>
                </c:pt>
                <c:pt idx="19">
                  <c:v>27181.0</c:v>
                </c:pt>
                <c:pt idx="20">
                  <c:v>27273.0</c:v>
                </c:pt>
                <c:pt idx="21">
                  <c:v>27364.0</c:v>
                </c:pt>
                <c:pt idx="22">
                  <c:v>27454.0</c:v>
                </c:pt>
                <c:pt idx="23">
                  <c:v>27546.0</c:v>
                </c:pt>
                <c:pt idx="24">
                  <c:v>27638.0</c:v>
                </c:pt>
                <c:pt idx="25">
                  <c:v>27729.0</c:v>
                </c:pt>
                <c:pt idx="26">
                  <c:v>27820.0</c:v>
                </c:pt>
                <c:pt idx="27">
                  <c:v>27912.0</c:v>
                </c:pt>
                <c:pt idx="28">
                  <c:v>28004.0</c:v>
                </c:pt>
                <c:pt idx="29">
                  <c:v>28095.0</c:v>
                </c:pt>
                <c:pt idx="30">
                  <c:v>28185.0</c:v>
                </c:pt>
                <c:pt idx="31">
                  <c:v>28277.0</c:v>
                </c:pt>
                <c:pt idx="32">
                  <c:v>28369.0</c:v>
                </c:pt>
                <c:pt idx="33">
                  <c:v>28460.0</c:v>
                </c:pt>
                <c:pt idx="34">
                  <c:v>28550.0</c:v>
                </c:pt>
                <c:pt idx="35">
                  <c:v>28642.0</c:v>
                </c:pt>
                <c:pt idx="36">
                  <c:v>28734.0</c:v>
                </c:pt>
                <c:pt idx="37">
                  <c:v>28825.0</c:v>
                </c:pt>
                <c:pt idx="38">
                  <c:v>28915.0</c:v>
                </c:pt>
                <c:pt idx="39">
                  <c:v>29007.0</c:v>
                </c:pt>
                <c:pt idx="40">
                  <c:v>29099.0</c:v>
                </c:pt>
                <c:pt idx="41">
                  <c:v>29190.0</c:v>
                </c:pt>
                <c:pt idx="42">
                  <c:v>29281.0</c:v>
                </c:pt>
                <c:pt idx="43">
                  <c:v>29373.0</c:v>
                </c:pt>
                <c:pt idx="44">
                  <c:v>29465.0</c:v>
                </c:pt>
                <c:pt idx="45">
                  <c:v>29556.0</c:v>
                </c:pt>
                <c:pt idx="46">
                  <c:v>29646.0</c:v>
                </c:pt>
                <c:pt idx="47">
                  <c:v>29738.0</c:v>
                </c:pt>
                <c:pt idx="48">
                  <c:v>29830.0</c:v>
                </c:pt>
                <c:pt idx="49">
                  <c:v>29921.0</c:v>
                </c:pt>
                <c:pt idx="50">
                  <c:v>30011.0</c:v>
                </c:pt>
                <c:pt idx="51">
                  <c:v>30103.0</c:v>
                </c:pt>
                <c:pt idx="52">
                  <c:v>30195.0</c:v>
                </c:pt>
                <c:pt idx="53">
                  <c:v>30286.0</c:v>
                </c:pt>
                <c:pt idx="54">
                  <c:v>30376.0</c:v>
                </c:pt>
                <c:pt idx="55">
                  <c:v>30468.0</c:v>
                </c:pt>
                <c:pt idx="56">
                  <c:v>30560.0</c:v>
                </c:pt>
                <c:pt idx="57">
                  <c:v>30651.0</c:v>
                </c:pt>
                <c:pt idx="58">
                  <c:v>30742.0</c:v>
                </c:pt>
                <c:pt idx="59">
                  <c:v>30834.0</c:v>
                </c:pt>
                <c:pt idx="60">
                  <c:v>30926.0</c:v>
                </c:pt>
                <c:pt idx="61">
                  <c:v>31017.0</c:v>
                </c:pt>
                <c:pt idx="62">
                  <c:v>31107.0</c:v>
                </c:pt>
                <c:pt idx="63">
                  <c:v>31199.0</c:v>
                </c:pt>
                <c:pt idx="64">
                  <c:v>31291.0</c:v>
                </c:pt>
                <c:pt idx="65">
                  <c:v>31382.0</c:v>
                </c:pt>
                <c:pt idx="66">
                  <c:v>31472.0</c:v>
                </c:pt>
                <c:pt idx="67">
                  <c:v>31564.0</c:v>
                </c:pt>
                <c:pt idx="68">
                  <c:v>31656.0</c:v>
                </c:pt>
                <c:pt idx="69">
                  <c:v>31747.0</c:v>
                </c:pt>
                <c:pt idx="70">
                  <c:v>31837.0</c:v>
                </c:pt>
                <c:pt idx="71">
                  <c:v>31929.0</c:v>
                </c:pt>
                <c:pt idx="72">
                  <c:v>32021.0</c:v>
                </c:pt>
                <c:pt idx="73">
                  <c:v>32112.0</c:v>
                </c:pt>
                <c:pt idx="74">
                  <c:v>32203.0</c:v>
                </c:pt>
                <c:pt idx="75">
                  <c:v>32295.0</c:v>
                </c:pt>
                <c:pt idx="76">
                  <c:v>32387.0</c:v>
                </c:pt>
                <c:pt idx="77">
                  <c:v>32478.0</c:v>
                </c:pt>
                <c:pt idx="78">
                  <c:v>32568.0</c:v>
                </c:pt>
                <c:pt idx="79">
                  <c:v>32660.0</c:v>
                </c:pt>
                <c:pt idx="80">
                  <c:v>32752.0</c:v>
                </c:pt>
                <c:pt idx="81">
                  <c:v>32843.0</c:v>
                </c:pt>
                <c:pt idx="82">
                  <c:v>32933.0</c:v>
                </c:pt>
                <c:pt idx="83">
                  <c:v>33025.0</c:v>
                </c:pt>
                <c:pt idx="84">
                  <c:v>33117.0</c:v>
                </c:pt>
                <c:pt idx="85">
                  <c:v>33208.0</c:v>
                </c:pt>
                <c:pt idx="86">
                  <c:v>33298.0</c:v>
                </c:pt>
                <c:pt idx="87">
                  <c:v>33390.0</c:v>
                </c:pt>
                <c:pt idx="88">
                  <c:v>33482.0</c:v>
                </c:pt>
                <c:pt idx="89">
                  <c:v>33573.0</c:v>
                </c:pt>
                <c:pt idx="90">
                  <c:v>33664.0</c:v>
                </c:pt>
                <c:pt idx="91">
                  <c:v>33756.0</c:v>
                </c:pt>
                <c:pt idx="92">
                  <c:v>33848.0</c:v>
                </c:pt>
                <c:pt idx="93">
                  <c:v>33939.0</c:v>
                </c:pt>
                <c:pt idx="94">
                  <c:v>34029.0</c:v>
                </c:pt>
                <c:pt idx="95">
                  <c:v>34121.0</c:v>
                </c:pt>
                <c:pt idx="96">
                  <c:v>34213.0</c:v>
                </c:pt>
                <c:pt idx="97">
                  <c:v>34304.0</c:v>
                </c:pt>
                <c:pt idx="98">
                  <c:v>34394.0</c:v>
                </c:pt>
                <c:pt idx="99">
                  <c:v>34486.0</c:v>
                </c:pt>
                <c:pt idx="100">
                  <c:v>34578.0</c:v>
                </c:pt>
                <c:pt idx="101">
                  <c:v>34669.0</c:v>
                </c:pt>
                <c:pt idx="102">
                  <c:v>34759.0</c:v>
                </c:pt>
                <c:pt idx="103">
                  <c:v>34851.0</c:v>
                </c:pt>
                <c:pt idx="104">
                  <c:v>34943.0</c:v>
                </c:pt>
                <c:pt idx="105">
                  <c:v>35034.0</c:v>
                </c:pt>
                <c:pt idx="106">
                  <c:v>35125.0</c:v>
                </c:pt>
                <c:pt idx="107">
                  <c:v>35217.0</c:v>
                </c:pt>
                <c:pt idx="108">
                  <c:v>35309.0</c:v>
                </c:pt>
                <c:pt idx="109">
                  <c:v>35400.0</c:v>
                </c:pt>
                <c:pt idx="110">
                  <c:v>35490.0</c:v>
                </c:pt>
                <c:pt idx="111">
                  <c:v>35582.0</c:v>
                </c:pt>
                <c:pt idx="112">
                  <c:v>35674.0</c:v>
                </c:pt>
                <c:pt idx="113">
                  <c:v>35765.0</c:v>
                </c:pt>
                <c:pt idx="114">
                  <c:v>35855.0</c:v>
                </c:pt>
                <c:pt idx="115">
                  <c:v>35947.0</c:v>
                </c:pt>
                <c:pt idx="116">
                  <c:v>36039.0</c:v>
                </c:pt>
                <c:pt idx="117">
                  <c:v>36130.0</c:v>
                </c:pt>
                <c:pt idx="118">
                  <c:v>36220.0</c:v>
                </c:pt>
                <c:pt idx="119">
                  <c:v>36312.0</c:v>
                </c:pt>
                <c:pt idx="120">
                  <c:v>36404.0</c:v>
                </c:pt>
                <c:pt idx="121">
                  <c:v>36495.0</c:v>
                </c:pt>
                <c:pt idx="122">
                  <c:v>36586.0</c:v>
                </c:pt>
                <c:pt idx="123">
                  <c:v>36678.0</c:v>
                </c:pt>
                <c:pt idx="124">
                  <c:v>36770.0</c:v>
                </c:pt>
                <c:pt idx="125">
                  <c:v>36861.0</c:v>
                </c:pt>
                <c:pt idx="126">
                  <c:v>36951.0</c:v>
                </c:pt>
                <c:pt idx="127">
                  <c:v>37043.0</c:v>
                </c:pt>
                <c:pt idx="128">
                  <c:v>37135.0</c:v>
                </c:pt>
                <c:pt idx="129">
                  <c:v>37226.0</c:v>
                </c:pt>
                <c:pt idx="130">
                  <c:v>37316.0</c:v>
                </c:pt>
                <c:pt idx="131">
                  <c:v>37408.0</c:v>
                </c:pt>
                <c:pt idx="132">
                  <c:v>37500.0</c:v>
                </c:pt>
                <c:pt idx="133">
                  <c:v>37591.0</c:v>
                </c:pt>
                <c:pt idx="134">
                  <c:v>37681.0</c:v>
                </c:pt>
                <c:pt idx="135">
                  <c:v>37773.0</c:v>
                </c:pt>
                <c:pt idx="136">
                  <c:v>37865.0</c:v>
                </c:pt>
                <c:pt idx="137">
                  <c:v>37956.0</c:v>
                </c:pt>
                <c:pt idx="138">
                  <c:v>38047.0</c:v>
                </c:pt>
                <c:pt idx="139">
                  <c:v>38139.0</c:v>
                </c:pt>
                <c:pt idx="140">
                  <c:v>38231.0</c:v>
                </c:pt>
                <c:pt idx="141">
                  <c:v>38322.0</c:v>
                </c:pt>
                <c:pt idx="142">
                  <c:v>38412.0</c:v>
                </c:pt>
                <c:pt idx="143">
                  <c:v>38504.0</c:v>
                </c:pt>
                <c:pt idx="144">
                  <c:v>38596.0</c:v>
                </c:pt>
                <c:pt idx="145">
                  <c:v>38687.0</c:v>
                </c:pt>
                <c:pt idx="146">
                  <c:v>38777.0</c:v>
                </c:pt>
                <c:pt idx="147">
                  <c:v>38869.0</c:v>
                </c:pt>
                <c:pt idx="148">
                  <c:v>38961.0</c:v>
                </c:pt>
                <c:pt idx="149">
                  <c:v>39052.0</c:v>
                </c:pt>
                <c:pt idx="150">
                  <c:v>39142.0</c:v>
                </c:pt>
                <c:pt idx="151">
                  <c:v>39234.0</c:v>
                </c:pt>
                <c:pt idx="152">
                  <c:v>39326.0</c:v>
                </c:pt>
                <c:pt idx="153">
                  <c:v>39417.0</c:v>
                </c:pt>
                <c:pt idx="154">
                  <c:v>39508.0</c:v>
                </c:pt>
                <c:pt idx="155">
                  <c:v>39600.0</c:v>
                </c:pt>
                <c:pt idx="156">
                  <c:v>39692.0</c:v>
                </c:pt>
                <c:pt idx="157">
                  <c:v>39783.0</c:v>
                </c:pt>
                <c:pt idx="158">
                  <c:v>39873.0</c:v>
                </c:pt>
                <c:pt idx="159">
                  <c:v>39965.0</c:v>
                </c:pt>
                <c:pt idx="160">
                  <c:v>40057.0</c:v>
                </c:pt>
                <c:pt idx="161">
                  <c:v>40148.0</c:v>
                </c:pt>
                <c:pt idx="162">
                  <c:v>40238.0</c:v>
                </c:pt>
                <c:pt idx="163">
                  <c:v>40330.0</c:v>
                </c:pt>
                <c:pt idx="164">
                  <c:v>40422.0</c:v>
                </c:pt>
                <c:pt idx="165">
                  <c:v>40513.0</c:v>
                </c:pt>
                <c:pt idx="166">
                  <c:v>40603.0</c:v>
                </c:pt>
                <c:pt idx="167">
                  <c:v>40695.0</c:v>
                </c:pt>
                <c:pt idx="168">
                  <c:v>40787.0</c:v>
                </c:pt>
                <c:pt idx="169">
                  <c:v>40878.0</c:v>
                </c:pt>
                <c:pt idx="170">
                  <c:v>40969.0</c:v>
                </c:pt>
                <c:pt idx="171">
                  <c:v>41061.0</c:v>
                </c:pt>
                <c:pt idx="172">
                  <c:v>41153.0</c:v>
                </c:pt>
                <c:pt idx="173">
                  <c:v>41244.0</c:v>
                </c:pt>
                <c:pt idx="174">
                  <c:v>41334.0</c:v>
                </c:pt>
                <c:pt idx="175">
                  <c:v>41426.0</c:v>
                </c:pt>
                <c:pt idx="176">
                  <c:v>41518.0</c:v>
                </c:pt>
                <c:pt idx="177">
                  <c:v>41609.0</c:v>
                </c:pt>
                <c:pt idx="178">
                  <c:v>41699.0</c:v>
                </c:pt>
                <c:pt idx="179">
                  <c:v>41791.0</c:v>
                </c:pt>
                <c:pt idx="180">
                  <c:v>41883.0</c:v>
                </c:pt>
                <c:pt idx="181">
                  <c:v>41974.0</c:v>
                </c:pt>
                <c:pt idx="182">
                  <c:v>42064.0</c:v>
                </c:pt>
                <c:pt idx="183">
                  <c:v>42156.0</c:v>
                </c:pt>
                <c:pt idx="184">
                  <c:v>42248.0</c:v>
                </c:pt>
                <c:pt idx="185">
                  <c:v>42339.0</c:v>
                </c:pt>
                <c:pt idx="186">
                  <c:v>42430.0</c:v>
                </c:pt>
              </c:numCache>
            </c:numRef>
          </c:cat>
          <c:val>
            <c:numRef>
              <c:f>Sheet1!$AJ$20:$AJ$206</c:f>
              <c:numCache>
                <c:formatCode>_-* #,##0.0_-;\-* #,##0.0_-;_-* "-"??_-;_-@_-</c:formatCode>
                <c:ptCount val="187"/>
                <c:pt idx="0">
                  <c:v>1.0</c:v>
                </c:pt>
                <c:pt idx="2">
                  <c:v>1.010204081632653</c:v>
                </c:pt>
                <c:pt idx="3">
                  <c:v>1.010204081632653</c:v>
                </c:pt>
                <c:pt idx="4">
                  <c:v>1.03061224489796</c:v>
                </c:pt>
                <c:pt idx="5">
                  <c:v>1.040816326530612</c:v>
                </c:pt>
                <c:pt idx="7">
                  <c:v>1.051020408163265</c:v>
                </c:pt>
                <c:pt idx="8">
                  <c:v>1.071428571428571</c:v>
                </c:pt>
                <c:pt idx="9">
                  <c:v>1.091836734693877</c:v>
                </c:pt>
                <c:pt idx="10">
                  <c:v>1.10204081632653</c:v>
                </c:pt>
                <c:pt idx="11">
                  <c:v>1.122448979591837</c:v>
                </c:pt>
                <c:pt idx="12">
                  <c:v>1.13265306122449</c:v>
                </c:pt>
                <c:pt idx="13">
                  <c:v>1.142857142857143</c:v>
                </c:pt>
                <c:pt idx="14">
                  <c:v>1.173469387755102</c:v>
                </c:pt>
                <c:pt idx="15">
                  <c:v>1.214285714285714</c:v>
                </c:pt>
                <c:pt idx="16">
                  <c:v>1.255102040816326</c:v>
                </c:pt>
                <c:pt idx="17">
                  <c:v>1.295918367346939</c:v>
                </c:pt>
                <c:pt idx="18">
                  <c:v>1.326530612244898</c:v>
                </c:pt>
                <c:pt idx="19">
                  <c:v>1.387755102040816</c:v>
                </c:pt>
                <c:pt idx="20">
                  <c:v>1.459183673469388</c:v>
                </c:pt>
                <c:pt idx="21">
                  <c:v>1.5</c:v>
                </c:pt>
                <c:pt idx="22">
                  <c:v>1.571428571428571</c:v>
                </c:pt>
                <c:pt idx="23">
                  <c:v>1.622448979591837</c:v>
                </c:pt>
                <c:pt idx="24">
                  <c:v>1.622448979591837</c:v>
                </c:pt>
                <c:pt idx="25">
                  <c:v>1.724489795918367</c:v>
                </c:pt>
                <c:pt idx="26">
                  <c:v>1.765306122448979</c:v>
                </c:pt>
                <c:pt idx="27">
                  <c:v>1.816326530612245</c:v>
                </c:pt>
                <c:pt idx="28">
                  <c:v>1.857142857142857</c:v>
                </c:pt>
                <c:pt idx="29">
                  <c:v>1.969387755102041</c:v>
                </c:pt>
                <c:pt idx="30">
                  <c:v>2.020408163265306</c:v>
                </c:pt>
                <c:pt idx="31">
                  <c:v>2.081632653061224</c:v>
                </c:pt>
                <c:pt idx="32">
                  <c:v>2.122448979591837</c:v>
                </c:pt>
                <c:pt idx="33">
                  <c:v>2.163265306122449</c:v>
                </c:pt>
                <c:pt idx="34">
                  <c:v>2.193877551020408</c:v>
                </c:pt>
                <c:pt idx="35">
                  <c:v>2.244897959183673</c:v>
                </c:pt>
                <c:pt idx="36">
                  <c:v>2.285714285714286</c:v>
                </c:pt>
                <c:pt idx="37">
                  <c:v>2.326530612244898</c:v>
                </c:pt>
                <c:pt idx="38">
                  <c:v>2.36734693877551</c:v>
                </c:pt>
                <c:pt idx="39">
                  <c:v>2.428571428571428</c:v>
                </c:pt>
                <c:pt idx="40">
                  <c:v>2.5</c:v>
                </c:pt>
                <c:pt idx="41">
                  <c:v>2.561224489795918</c:v>
                </c:pt>
                <c:pt idx="42">
                  <c:v>2.60204081632653</c:v>
                </c:pt>
                <c:pt idx="43">
                  <c:v>2.683673469387755</c:v>
                </c:pt>
                <c:pt idx="44">
                  <c:v>2.73469387755102</c:v>
                </c:pt>
                <c:pt idx="45">
                  <c:v>2.795918367346938</c:v>
                </c:pt>
                <c:pt idx="46">
                  <c:v>2.857142857142857</c:v>
                </c:pt>
                <c:pt idx="47">
                  <c:v>2.918367346938775</c:v>
                </c:pt>
                <c:pt idx="48">
                  <c:v>2.989795918367346</c:v>
                </c:pt>
                <c:pt idx="49">
                  <c:v>3.122448979591837</c:v>
                </c:pt>
                <c:pt idx="50">
                  <c:v>3.163265306122449</c:v>
                </c:pt>
                <c:pt idx="51">
                  <c:v>3.23469387755102</c:v>
                </c:pt>
                <c:pt idx="52">
                  <c:v>3.346938775510203</c:v>
                </c:pt>
                <c:pt idx="53">
                  <c:v>3.438775510204082</c:v>
                </c:pt>
                <c:pt idx="54">
                  <c:v>3.510204081632652</c:v>
                </c:pt>
                <c:pt idx="55">
                  <c:v>3.612244897959183</c:v>
                </c:pt>
                <c:pt idx="56">
                  <c:v>3.663265306122449</c:v>
                </c:pt>
                <c:pt idx="57">
                  <c:v>3.775510204081632</c:v>
                </c:pt>
                <c:pt idx="58">
                  <c:v>3.755102040816326</c:v>
                </c:pt>
                <c:pt idx="59">
                  <c:v>3.76530612244898</c:v>
                </c:pt>
                <c:pt idx="60">
                  <c:v>3.826530612244898</c:v>
                </c:pt>
                <c:pt idx="61">
                  <c:v>3.86734693877551</c:v>
                </c:pt>
                <c:pt idx="62">
                  <c:v>3.918367346938775</c:v>
                </c:pt>
                <c:pt idx="63">
                  <c:v>4.030612244897959</c:v>
                </c:pt>
                <c:pt idx="64">
                  <c:v>4.112244897959183</c:v>
                </c:pt>
                <c:pt idx="65">
                  <c:v>4.183673469387755</c:v>
                </c:pt>
                <c:pt idx="66">
                  <c:v>4.295918367346939</c:v>
                </c:pt>
                <c:pt idx="67">
                  <c:v>4.367346938775509</c:v>
                </c:pt>
                <c:pt idx="68">
                  <c:v>4.479591836734693</c:v>
                </c:pt>
                <c:pt idx="69">
                  <c:v>4.612244897959184</c:v>
                </c:pt>
                <c:pt idx="70">
                  <c:v>4.693877551020407</c:v>
                </c:pt>
                <c:pt idx="71">
                  <c:v>4.775510204081632</c:v>
                </c:pt>
                <c:pt idx="72">
                  <c:v>4.857142857142857</c:v>
                </c:pt>
                <c:pt idx="73">
                  <c:v>4.938775510204081</c:v>
                </c:pt>
                <c:pt idx="74">
                  <c:v>5.010204081632652</c:v>
                </c:pt>
                <c:pt idx="75">
                  <c:v>5.112244897959183</c:v>
                </c:pt>
                <c:pt idx="76">
                  <c:v>5.183673469387754</c:v>
                </c:pt>
                <c:pt idx="77">
                  <c:v>5.275510204081632</c:v>
                </c:pt>
                <c:pt idx="78">
                  <c:v>5.346938775510203</c:v>
                </c:pt>
                <c:pt idx="79">
                  <c:v>5.489795918367346</c:v>
                </c:pt>
                <c:pt idx="80">
                  <c:v>5.612244897959183</c:v>
                </c:pt>
                <c:pt idx="81">
                  <c:v>5.714285714285713</c:v>
                </c:pt>
                <c:pt idx="82">
                  <c:v>5.806122448979591</c:v>
                </c:pt>
                <c:pt idx="83">
                  <c:v>5.918367346938775</c:v>
                </c:pt>
                <c:pt idx="84">
                  <c:v>5.96938775510204</c:v>
                </c:pt>
                <c:pt idx="85">
                  <c:v>6.142857142857142</c:v>
                </c:pt>
                <c:pt idx="86">
                  <c:v>6.112244897959183</c:v>
                </c:pt>
                <c:pt idx="87">
                  <c:v>6.153061224489795</c:v>
                </c:pt>
                <c:pt idx="88">
                  <c:v>6.20408163265306</c:v>
                </c:pt>
                <c:pt idx="89">
                  <c:v>6.244897959183674</c:v>
                </c:pt>
                <c:pt idx="90">
                  <c:v>6.244897959183674</c:v>
                </c:pt>
                <c:pt idx="91">
                  <c:v>6.23469387755102</c:v>
                </c:pt>
                <c:pt idx="92">
                  <c:v>6.224489795918366</c:v>
                </c:pt>
                <c:pt idx="93">
                  <c:v>6.23469387755102</c:v>
                </c:pt>
                <c:pt idx="94">
                  <c:v>6.316326530612244</c:v>
                </c:pt>
                <c:pt idx="95">
                  <c:v>6.346938775510204</c:v>
                </c:pt>
                <c:pt idx="96">
                  <c:v>6.367346938775509</c:v>
                </c:pt>
                <c:pt idx="97">
                  <c:v>6.387755102040816</c:v>
                </c:pt>
                <c:pt idx="98">
                  <c:v>6.408163265306121</c:v>
                </c:pt>
                <c:pt idx="99">
                  <c:v>6.459183673469387</c:v>
                </c:pt>
                <c:pt idx="100">
                  <c:v>6.46938775510204</c:v>
                </c:pt>
                <c:pt idx="101">
                  <c:v>6.520408163265306</c:v>
                </c:pt>
                <c:pt idx="102">
                  <c:v>6.632653061224489</c:v>
                </c:pt>
                <c:pt idx="103">
                  <c:v>6.693877551020407</c:v>
                </c:pt>
                <c:pt idx="104">
                  <c:v>6.775510204081633</c:v>
                </c:pt>
                <c:pt idx="105">
                  <c:v>6.826530612244898</c:v>
                </c:pt>
                <c:pt idx="106">
                  <c:v>6.816326530612244</c:v>
                </c:pt>
                <c:pt idx="107">
                  <c:v>6.867346938775509</c:v>
                </c:pt>
                <c:pt idx="108">
                  <c:v>6.897959183673468</c:v>
                </c:pt>
                <c:pt idx="109">
                  <c:v>6.908163265306121</c:v>
                </c:pt>
                <c:pt idx="110">
                  <c:v>6.918367346938774</c:v>
                </c:pt>
                <c:pt idx="111">
                  <c:v>6.908163265306121</c:v>
                </c:pt>
                <c:pt idx="112">
                  <c:v>6.887755102040816</c:v>
                </c:pt>
                <c:pt idx="113">
                  <c:v>6.908163265306121</c:v>
                </c:pt>
                <c:pt idx="114">
                  <c:v>6.897959183673468</c:v>
                </c:pt>
                <c:pt idx="115">
                  <c:v>6.938775510204081</c:v>
                </c:pt>
                <c:pt idx="116">
                  <c:v>6.938775510204081</c:v>
                </c:pt>
                <c:pt idx="117">
                  <c:v>6.96938775510204</c:v>
                </c:pt>
                <c:pt idx="118">
                  <c:v>6.96938775510204</c:v>
                </c:pt>
                <c:pt idx="119">
                  <c:v>7</c:v>
                </c:pt>
                <c:pt idx="120">
                  <c:v>7.07142857142857</c:v>
                </c:pt>
                <c:pt idx="121">
                  <c:v>7.112244897959183</c:v>
                </c:pt>
                <c:pt idx="122">
                  <c:v>7.193877551020408</c:v>
                </c:pt>
                <c:pt idx="123">
                  <c:v>7.23469387755102</c:v>
                </c:pt>
                <c:pt idx="124">
                  <c:v>7.510204081632651</c:v>
                </c:pt>
                <c:pt idx="125">
                  <c:v>7.540816326530612</c:v>
                </c:pt>
                <c:pt idx="126">
                  <c:v>7.622448979591836</c:v>
                </c:pt>
                <c:pt idx="127">
                  <c:v>7.663265306122448</c:v>
                </c:pt>
                <c:pt idx="128">
                  <c:v>7.704081632653061</c:v>
                </c:pt>
                <c:pt idx="129">
                  <c:v>7.765306122448979</c:v>
                </c:pt>
                <c:pt idx="130">
                  <c:v>7.846938775510204</c:v>
                </c:pt>
                <c:pt idx="131">
                  <c:v>7.887755102040815</c:v>
                </c:pt>
                <c:pt idx="132">
                  <c:v>7.948979591836734</c:v>
                </c:pt>
                <c:pt idx="133">
                  <c:v>8.010204081632653</c:v>
                </c:pt>
                <c:pt idx="134">
                  <c:v>8.122448979591835</c:v>
                </c:pt>
                <c:pt idx="135">
                  <c:v>8.122448979591835</c:v>
                </c:pt>
                <c:pt idx="136">
                  <c:v>8.173469387755101</c:v>
                </c:pt>
                <c:pt idx="137">
                  <c:v>8.193877551020407</c:v>
                </c:pt>
                <c:pt idx="138">
                  <c:v>8.27551020408163</c:v>
                </c:pt>
                <c:pt idx="139">
                  <c:v>8.295918367346937</c:v>
                </c:pt>
                <c:pt idx="140">
                  <c:v>8.316326530612243</c:v>
                </c:pt>
                <c:pt idx="141">
                  <c:v>8.377551020408162</c:v>
                </c:pt>
                <c:pt idx="142">
                  <c:v>8.438775510204081</c:v>
                </c:pt>
                <c:pt idx="143">
                  <c:v>8.46938775510204</c:v>
                </c:pt>
                <c:pt idx="144">
                  <c:v>8.561224489795918</c:v>
                </c:pt>
                <c:pt idx="145">
                  <c:v>8.60204081632653</c:v>
                </c:pt>
                <c:pt idx="146">
                  <c:v>8.673469387755101</c:v>
                </c:pt>
                <c:pt idx="147">
                  <c:v>8.795918367346938</c:v>
                </c:pt>
                <c:pt idx="148">
                  <c:v>8.857142857142855</c:v>
                </c:pt>
                <c:pt idx="149">
                  <c:v>8.846938775510203</c:v>
                </c:pt>
                <c:pt idx="150">
                  <c:v>8.86734693877551</c:v>
                </c:pt>
                <c:pt idx="151">
                  <c:v>8.96938775510204</c:v>
                </c:pt>
                <c:pt idx="152">
                  <c:v>9.040816326530611</c:v>
                </c:pt>
                <c:pt idx="153">
                  <c:v>9.13265306122449</c:v>
                </c:pt>
                <c:pt idx="154">
                  <c:v>9.255102040816325</c:v>
                </c:pt>
                <c:pt idx="155">
                  <c:v>9.367346938775508</c:v>
                </c:pt>
                <c:pt idx="156">
                  <c:v>9.47959183673469</c:v>
                </c:pt>
                <c:pt idx="157">
                  <c:v>9.418367346938775</c:v>
                </c:pt>
                <c:pt idx="158">
                  <c:v>9.448979591836734</c:v>
                </c:pt>
                <c:pt idx="159">
                  <c:v>9.47959183673469</c:v>
                </c:pt>
                <c:pt idx="160">
                  <c:v>9.53061224489796</c:v>
                </c:pt>
                <c:pt idx="161">
                  <c:v>9.591836734693876</c:v>
                </c:pt>
                <c:pt idx="162">
                  <c:v>9.714285714285713</c:v>
                </c:pt>
                <c:pt idx="163">
                  <c:v>9.77551020408163</c:v>
                </c:pt>
                <c:pt idx="164">
                  <c:v>9.826530612244896</c:v>
                </c:pt>
                <c:pt idx="165">
                  <c:v>9.887755102040817</c:v>
                </c:pt>
                <c:pt idx="166">
                  <c:v>10.05102040816326</c:v>
                </c:pt>
                <c:pt idx="167">
                  <c:v>10.12244897959184</c:v>
                </c:pt>
                <c:pt idx="168">
                  <c:v>10.18367346938775</c:v>
                </c:pt>
                <c:pt idx="169">
                  <c:v>10.19387755102041</c:v>
                </c:pt>
                <c:pt idx="170">
                  <c:v>10.19387755102041</c:v>
                </c:pt>
                <c:pt idx="171">
                  <c:v>10.24489795918367</c:v>
                </c:pt>
                <c:pt idx="172">
                  <c:v>10.36734693877551</c:v>
                </c:pt>
                <c:pt idx="173">
                  <c:v>10.40816326530612</c:v>
                </c:pt>
                <c:pt idx="174">
                  <c:v>10.44897959183673</c:v>
                </c:pt>
                <c:pt idx="175">
                  <c:v>10.46938775510204</c:v>
                </c:pt>
                <c:pt idx="176">
                  <c:v>10.61224489795918</c:v>
                </c:pt>
                <c:pt idx="177">
                  <c:v>10.69387755102041</c:v>
                </c:pt>
                <c:pt idx="178">
                  <c:v>10.74489795918367</c:v>
                </c:pt>
                <c:pt idx="179">
                  <c:v>10.80612244897959</c:v>
                </c:pt>
                <c:pt idx="180">
                  <c:v>10.8265306122449</c:v>
                </c:pt>
                <c:pt idx="181">
                  <c:v>10.8469387755102</c:v>
                </c:pt>
                <c:pt idx="182">
                  <c:v>10.85714285714286</c:v>
                </c:pt>
                <c:pt idx="183">
                  <c:v>10.92857142857143</c:v>
                </c:pt>
                <c:pt idx="184">
                  <c:v>10.9795918367347</c:v>
                </c:pt>
                <c:pt idx="185">
                  <c:v>11.05102040816326</c:v>
                </c:pt>
                <c:pt idx="186">
                  <c:v>11.04081632653061</c:v>
                </c:pt>
              </c:numCache>
            </c:numRef>
          </c:val>
          <c:smooth val="0"/>
        </c:ser>
        <c:ser>
          <c:idx val="5"/>
          <c:order val="5"/>
          <c:tx>
            <c:v>Loan Interest Costs (Capitalised)</c:v>
          </c:tx>
          <c:marker>
            <c:symbol val="none"/>
          </c:marker>
          <c:cat>
            <c:numRef>
              <c:f>Sheet1!$AE$20:$AE$206</c:f>
              <c:numCache>
                <c:formatCode>m/d/yy</c:formatCode>
                <c:ptCount val="187"/>
                <c:pt idx="0">
                  <c:v>25628.0</c:v>
                </c:pt>
                <c:pt idx="2">
                  <c:v>25720.0</c:v>
                </c:pt>
                <c:pt idx="3">
                  <c:v>25812.0</c:v>
                </c:pt>
                <c:pt idx="4">
                  <c:v>25903.0</c:v>
                </c:pt>
                <c:pt idx="5">
                  <c:v>25993.0</c:v>
                </c:pt>
                <c:pt idx="7">
                  <c:v>26085.0</c:v>
                </c:pt>
                <c:pt idx="8">
                  <c:v>26177.0</c:v>
                </c:pt>
                <c:pt idx="9">
                  <c:v>26268.0</c:v>
                </c:pt>
                <c:pt idx="10">
                  <c:v>26359.0</c:v>
                </c:pt>
                <c:pt idx="11">
                  <c:v>26451.0</c:v>
                </c:pt>
                <c:pt idx="12">
                  <c:v>26543.0</c:v>
                </c:pt>
                <c:pt idx="13">
                  <c:v>26634.0</c:v>
                </c:pt>
                <c:pt idx="14">
                  <c:v>26724.0</c:v>
                </c:pt>
                <c:pt idx="15">
                  <c:v>26816.0</c:v>
                </c:pt>
                <c:pt idx="16">
                  <c:v>26908.0</c:v>
                </c:pt>
                <c:pt idx="17">
                  <c:v>26999.0</c:v>
                </c:pt>
                <c:pt idx="18">
                  <c:v>27089.0</c:v>
                </c:pt>
                <c:pt idx="19">
                  <c:v>27181.0</c:v>
                </c:pt>
                <c:pt idx="20">
                  <c:v>27273.0</c:v>
                </c:pt>
                <c:pt idx="21">
                  <c:v>27364.0</c:v>
                </c:pt>
                <c:pt idx="22">
                  <c:v>27454.0</c:v>
                </c:pt>
                <c:pt idx="23">
                  <c:v>27546.0</c:v>
                </c:pt>
                <c:pt idx="24">
                  <c:v>27638.0</c:v>
                </c:pt>
                <c:pt idx="25">
                  <c:v>27729.0</c:v>
                </c:pt>
                <c:pt idx="26">
                  <c:v>27820.0</c:v>
                </c:pt>
                <c:pt idx="27">
                  <c:v>27912.0</c:v>
                </c:pt>
                <c:pt idx="28">
                  <c:v>28004.0</c:v>
                </c:pt>
                <c:pt idx="29">
                  <c:v>28095.0</c:v>
                </c:pt>
                <c:pt idx="30">
                  <c:v>28185.0</c:v>
                </c:pt>
                <c:pt idx="31">
                  <c:v>28277.0</c:v>
                </c:pt>
                <c:pt idx="32">
                  <c:v>28369.0</c:v>
                </c:pt>
                <c:pt idx="33">
                  <c:v>28460.0</c:v>
                </c:pt>
                <c:pt idx="34">
                  <c:v>28550.0</c:v>
                </c:pt>
                <c:pt idx="35">
                  <c:v>28642.0</c:v>
                </c:pt>
                <c:pt idx="36">
                  <c:v>28734.0</c:v>
                </c:pt>
                <c:pt idx="37">
                  <c:v>28825.0</c:v>
                </c:pt>
                <c:pt idx="38">
                  <c:v>28915.0</c:v>
                </c:pt>
                <c:pt idx="39">
                  <c:v>29007.0</c:v>
                </c:pt>
                <c:pt idx="40">
                  <c:v>29099.0</c:v>
                </c:pt>
                <c:pt idx="41">
                  <c:v>29190.0</c:v>
                </c:pt>
                <c:pt idx="42">
                  <c:v>29281.0</c:v>
                </c:pt>
                <c:pt idx="43">
                  <c:v>29373.0</c:v>
                </c:pt>
                <c:pt idx="44">
                  <c:v>29465.0</c:v>
                </c:pt>
                <c:pt idx="45">
                  <c:v>29556.0</c:v>
                </c:pt>
                <c:pt idx="46">
                  <c:v>29646.0</c:v>
                </c:pt>
                <c:pt idx="47">
                  <c:v>29738.0</c:v>
                </c:pt>
                <c:pt idx="48">
                  <c:v>29830.0</c:v>
                </c:pt>
                <c:pt idx="49">
                  <c:v>29921.0</c:v>
                </c:pt>
                <c:pt idx="50">
                  <c:v>30011.0</c:v>
                </c:pt>
                <c:pt idx="51">
                  <c:v>30103.0</c:v>
                </c:pt>
                <c:pt idx="52">
                  <c:v>30195.0</c:v>
                </c:pt>
                <c:pt idx="53">
                  <c:v>30286.0</c:v>
                </c:pt>
                <c:pt idx="54">
                  <c:v>30376.0</c:v>
                </c:pt>
                <c:pt idx="55">
                  <c:v>30468.0</c:v>
                </c:pt>
                <c:pt idx="56">
                  <c:v>30560.0</c:v>
                </c:pt>
                <c:pt idx="57">
                  <c:v>30651.0</c:v>
                </c:pt>
                <c:pt idx="58">
                  <c:v>30742.0</c:v>
                </c:pt>
                <c:pt idx="59">
                  <c:v>30834.0</c:v>
                </c:pt>
                <c:pt idx="60">
                  <c:v>30926.0</c:v>
                </c:pt>
                <c:pt idx="61">
                  <c:v>31017.0</c:v>
                </c:pt>
                <c:pt idx="62">
                  <c:v>31107.0</c:v>
                </c:pt>
                <c:pt idx="63">
                  <c:v>31199.0</c:v>
                </c:pt>
                <c:pt idx="64">
                  <c:v>31291.0</c:v>
                </c:pt>
                <c:pt idx="65">
                  <c:v>31382.0</c:v>
                </c:pt>
                <c:pt idx="66">
                  <c:v>31472.0</c:v>
                </c:pt>
                <c:pt idx="67">
                  <c:v>31564.0</c:v>
                </c:pt>
                <c:pt idx="68">
                  <c:v>31656.0</c:v>
                </c:pt>
                <c:pt idx="69">
                  <c:v>31747.0</c:v>
                </c:pt>
                <c:pt idx="70">
                  <c:v>31837.0</c:v>
                </c:pt>
                <c:pt idx="71">
                  <c:v>31929.0</c:v>
                </c:pt>
                <c:pt idx="72">
                  <c:v>32021.0</c:v>
                </c:pt>
                <c:pt idx="73">
                  <c:v>32112.0</c:v>
                </c:pt>
                <c:pt idx="74">
                  <c:v>32203.0</c:v>
                </c:pt>
                <c:pt idx="75">
                  <c:v>32295.0</c:v>
                </c:pt>
                <c:pt idx="76">
                  <c:v>32387.0</c:v>
                </c:pt>
                <c:pt idx="77">
                  <c:v>32478.0</c:v>
                </c:pt>
                <c:pt idx="78">
                  <c:v>32568.0</c:v>
                </c:pt>
                <c:pt idx="79">
                  <c:v>32660.0</c:v>
                </c:pt>
                <c:pt idx="80">
                  <c:v>32752.0</c:v>
                </c:pt>
                <c:pt idx="81">
                  <c:v>32843.0</c:v>
                </c:pt>
                <c:pt idx="82">
                  <c:v>32933.0</c:v>
                </c:pt>
                <c:pt idx="83">
                  <c:v>33025.0</c:v>
                </c:pt>
                <c:pt idx="84">
                  <c:v>33117.0</c:v>
                </c:pt>
                <c:pt idx="85">
                  <c:v>33208.0</c:v>
                </c:pt>
                <c:pt idx="86">
                  <c:v>33298.0</c:v>
                </c:pt>
                <c:pt idx="87">
                  <c:v>33390.0</c:v>
                </c:pt>
                <c:pt idx="88">
                  <c:v>33482.0</c:v>
                </c:pt>
                <c:pt idx="89">
                  <c:v>33573.0</c:v>
                </c:pt>
                <c:pt idx="90">
                  <c:v>33664.0</c:v>
                </c:pt>
                <c:pt idx="91">
                  <c:v>33756.0</c:v>
                </c:pt>
                <c:pt idx="92">
                  <c:v>33848.0</c:v>
                </c:pt>
                <c:pt idx="93">
                  <c:v>33939.0</c:v>
                </c:pt>
                <c:pt idx="94">
                  <c:v>34029.0</c:v>
                </c:pt>
                <c:pt idx="95">
                  <c:v>34121.0</c:v>
                </c:pt>
                <c:pt idx="96">
                  <c:v>34213.0</c:v>
                </c:pt>
                <c:pt idx="97">
                  <c:v>34304.0</c:v>
                </c:pt>
                <c:pt idx="98">
                  <c:v>34394.0</c:v>
                </c:pt>
                <c:pt idx="99">
                  <c:v>34486.0</c:v>
                </c:pt>
                <c:pt idx="100">
                  <c:v>34578.0</c:v>
                </c:pt>
                <c:pt idx="101">
                  <c:v>34669.0</c:v>
                </c:pt>
                <c:pt idx="102">
                  <c:v>34759.0</c:v>
                </c:pt>
                <c:pt idx="103">
                  <c:v>34851.0</c:v>
                </c:pt>
                <c:pt idx="104">
                  <c:v>34943.0</c:v>
                </c:pt>
                <c:pt idx="105">
                  <c:v>35034.0</c:v>
                </c:pt>
                <c:pt idx="106">
                  <c:v>35125.0</c:v>
                </c:pt>
                <c:pt idx="107">
                  <c:v>35217.0</c:v>
                </c:pt>
                <c:pt idx="108">
                  <c:v>35309.0</c:v>
                </c:pt>
                <c:pt idx="109">
                  <c:v>35400.0</c:v>
                </c:pt>
                <c:pt idx="110">
                  <c:v>35490.0</c:v>
                </c:pt>
                <c:pt idx="111">
                  <c:v>35582.0</c:v>
                </c:pt>
                <c:pt idx="112">
                  <c:v>35674.0</c:v>
                </c:pt>
                <c:pt idx="113">
                  <c:v>35765.0</c:v>
                </c:pt>
                <c:pt idx="114">
                  <c:v>35855.0</c:v>
                </c:pt>
                <c:pt idx="115">
                  <c:v>35947.0</c:v>
                </c:pt>
                <c:pt idx="116">
                  <c:v>36039.0</c:v>
                </c:pt>
                <c:pt idx="117">
                  <c:v>36130.0</c:v>
                </c:pt>
                <c:pt idx="118">
                  <c:v>36220.0</c:v>
                </c:pt>
                <c:pt idx="119">
                  <c:v>36312.0</c:v>
                </c:pt>
                <c:pt idx="120">
                  <c:v>36404.0</c:v>
                </c:pt>
                <c:pt idx="121">
                  <c:v>36495.0</c:v>
                </c:pt>
                <c:pt idx="122">
                  <c:v>36586.0</c:v>
                </c:pt>
                <c:pt idx="123">
                  <c:v>36678.0</c:v>
                </c:pt>
                <c:pt idx="124">
                  <c:v>36770.0</c:v>
                </c:pt>
                <c:pt idx="125">
                  <c:v>36861.0</c:v>
                </c:pt>
                <c:pt idx="126">
                  <c:v>36951.0</c:v>
                </c:pt>
                <c:pt idx="127">
                  <c:v>37043.0</c:v>
                </c:pt>
                <c:pt idx="128">
                  <c:v>37135.0</c:v>
                </c:pt>
                <c:pt idx="129">
                  <c:v>37226.0</c:v>
                </c:pt>
                <c:pt idx="130">
                  <c:v>37316.0</c:v>
                </c:pt>
                <c:pt idx="131">
                  <c:v>37408.0</c:v>
                </c:pt>
                <c:pt idx="132">
                  <c:v>37500.0</c:v>
                </c:pt>
                <c:pt idx="133">
                  <c:v>37591.0</c:v>
                </c:pt>
                <c:pt idx="134">
                  <c:v>37681.0</c:v>
                </c:pt>
                <c:pt idx="135">
                  <c:v>37773.0</c:v>
                </c:pt>
                <c:pt idx="136">
                  <c:v>37865.0</c:v>
                </c:pt>
                <c:pt idx="137">
                  <c:v>37956.0</c:v>
                </c:pt>
                <c:pt idx="138">
                  <c:v>38047.0</c:v>
                </c:pt>
                <c:pt idx="139">
                  <c:v>38139.0</c:v>
                </c:pt>
                <c:pt idx="140">
                  <c:v>38231.0</c:v>
                </c:pt>
                <c:pt idx="141">
                  <c:v>38322.0</c:v>
                </c:pt>
                <c:pt idx="142">
                  <c:v>38412.0</c:v>
                </c:pt>
                <c:pt idx="143">
                  <c:v>38504.0</c:v>
                </c:pt>
                <c:pt idx="144">
                  <c:v>38596.0</c:v>
                </c:pt>
                <c:pt idx="145">
                  <c:v>38687.0</c:v>
                </c:pt>
                <c:pt idx="146">
                  <c:v>38777.0</c:v>
                </c:pt>
                <c:pt idx="147">
                  <c:v>38869.0</c:v>
                </c:pt>
                <c:pt idx="148">
                  <c:v>38961.0</c:v>
                </c:pt>
                <c:pt idx="149">
                  <c:v>39052.0</c:v>
                </c:pt>
                <c:pt idx="150">
                  <c:v>39142.0</c:v>
                </c:pt>
                <c:pt idx="151">
                  <c:v>39234.0</c:v>
                </c:pt>
                <c:pt idx="152">
                  <c:v>39326.0</c:v>
                </c:pt>
                <c:pt idx="153">
                  <c:v>39417.0</c:v>
                </c:pt>
                <c:pt idx="154">
                  <c:v>39508.0</c:v>
                </c:pt>
                <c:pt idx="155">
                  <c:v>39600.0</c:v>
                </c:pt>
                <c:pt idx="156">
                  <c:v>39692.0</c:v>
                </c:pt>
                <c:pt idx="157">
                  <c:v>39783.0</c:v>
                </c:pt>
                <c:pt idx="158">
                  <c:v>39873.0</c:v>
                </c:pt>
                <c:pt idx="159">
                  <c:v>39965.0</c:v>
                </c:pt>
                <c:pt idx="160">
                  <c:v>40057.0</c:v>
                </c:pt>
                <c:pt idx="161">
                  <c:v>40148.0</c:v>
                </c:pt>
                <c:pt idx="162">
                  <c:v>40238.0</c:v>
                </c:pt>
                <c:pt idx="163">
                  <c:v>40330.0</c:v>
                </c:pt>
                <c:pt idx="164">
                  <c:v>40422.0</c:v>
                </c:pt>
                <c:pt idx="165">
                  <c:v>40513.0</c:v>
                </c:pt>
                <c:pt idx="166">
                  <c:v>40603.0</c:v>
                </c:pt>
                <c:pt idx="167">
                  <c:v>40695.0</c:v>
                </c:pt>
                <c:pt idx="168">
                  <c:v>40787.0</c:v>
                </c:pt>
                <c:pt idx="169">
                  <c:v>40878.0</c:v>
                </c:pt>
                <c:pt idx="170">
                  <c:v>40969.0</c:v>
                </c:pt>
                <c:pt idx="171">
                  <c:v>41061.0</c:v>
                </c:pt>
                <c:pt idx="172">
                  <c:v>41153.0</c:v>
                </c:pt>
                <c:pt idx="173">
                  <c:v>41244.0</c:v>
                </c:pt>
                <c:pt idx="174">
                  <c:v>41334.0</c:v>
                </c:pt>
                <c:pt idx="175">
                  <c:v>41426.0</c:v>
                </c:pt>
                <c:pt idx="176">
                  <c:v>41518.0</c:v>
                </c:pt>
                <c:pt idx="177">
                  <c:v>41609.0</c:v>
                </c:pt>
                <c:pt idx="178">
                  <c:v>41699.0</c:v>
                </c:pt>
                <c:pt idx="179">
                  <c:v>41791.0</c:v>
                </c:pt>
                <c:pt idx="180">
                  <c:v>41883.0</c:v>
                </c:pt>
                <c:pt idx="181">
                  <c:v>41974.0</c:v>
                </c:pt>
                <c:pt idx="182">
                  <c:v>42064.0</c:v>
                </c:pt>
                <c:pt idx="183">
                  <c:v>42156.0</c:v>
                </c:pt>
                <c:pt idx="184">
                  <c:v>42248.0</c:v>
                </c:pt>
                <c:pt idx="185">
                  <c:v>42339.0</c:v>
                </c:pt>
                <c:pt idx="186">
                  <c:v>42430.0</c:v>
                </c:pt>
              </c:numCache>
            </c:numRef>
          </c:cat>
          <c:val>
            <c:numRef>
              <c:f>Sheet1!$AK$20:$AK$206</c:f>
              <c:numCache>
                <c:formatCode>_-* #,##0.0_-;\-* #,##0.0_-;_-* "-"??_-;_-@_-</c:formatCode>
                <c:ptCount val="187"/>
                <c:pt idx="0">
                  <c:v>1.0</c:v>
                </c:pt>
                <c:pt idx="2">
                  <c:v>1.01198288975623</c:v>
                </c:pt>
                <c:pt idx="3">
                  <c:v>1.027437479999239</c:v>
                </c:pt>
                <c:pt idx="4">
                  <c:v>1.043128086445681</c:v>
                </c:pt>
                <c:pt idx="5">
                  <c:v>1.059058313438824</c:v>
                </c:pt>
                <c:pt idx="7">
                  <c:v>1.075231820365993</c:v>
                </c:pt>
                <c:pt idx="8">
                  <c:v>1.091652322499191</c:v>
                </c:pt>
                <c:pt idx="9">
                  <c:v>1.108323591848536</c:v>
                </c:pt>
                <c:pt idx="10">
                  <c:v>1.12524945802875</c:v>
                </c:pt>
                <c:pt idx="11">
                  <c:v>1.142433809138868</c:v>
                </c:pt>
                <c:pt idx="12">
                  <c:v>1.159197707112047</c:v>
                </c:pt>
                <c:pt idx="13">
                  <c:v>1.176207595945272</c:v>
                </c:pt>
                <c:pt idx="14">
                  <c:v>1.193467085270581</c:v>
                </c:pt>
                <c:pt idx="15">
                  <c:v>1.2109798376872</c:v>
                </c:pt>
                <c:pt idx="16">
                  <c:v>1.22874956953877</c:v>
                </c:pt>
                <c:pt idx="17">
                  <c:v>1.246780051701988</c:v>
                </c:pt>
                <c:pt idx="18">
                  <c:v>1.265075110386817</c:v>
                </c:pt>
                <c:pt idx="19">
                  <c:v>1.283638627948432</c:v>
                </c:pt>
                <c:pt idx="20">
                  <c:v>1.306693189479419</c:v>
                </c:pt>
                <c:pt idx="21">
                  <c:v>1.330161818331078</c:v>
                </c:pt>
                <c:pt idx="22">
                  <c:v>1.354051951285316</c:v>
                </c:pt>
                <c:pt idx="23">
                  <c:v>1.378371158691027</c:v>
                </c:pt>
                <c:pt idx="24">
                  <c:v>1.408809320071709</c:v>
                </c:pt>
                <c:pt idx="25">
                  <c:v>1.439919638340175</c:v>
                </c:pt>
                <c:pt idx="26">
                  <c:v>1.47171695653757</c:v>
                </c:pt>
                <c:pt idx="27">
                  <c:v>1.504216445479517</c:v>
                </c:pt>
                <c:pt idx="28">
                  <c:v>1.536552347743155</c:v>
                </c:pt>
                <c:pt idx="29">
                  <c:v>1.569583369767214</c:v>
                </c:pt>
                <c:pt idx="30">
                  <c:v>1.603324454430894</c:v>
                </c:pt>
                <c:pt idx="31">
                  <c:v>1.637790865838098</c:v>
                </c:pt>
                <c:pt idx="32">
                  <c:v>1.672998196222747</c:v>
                </c:pt>
                <c:pt idx="33">
                  <c:v>1.708962373002542</c:v>
                </c:pt>
                <c:pt idx="34">
                  <c:v>1.745699665984357</c:v>
                </c:pt>
                <c:pt idx="35">
                  <c:v>1.78322669472452</c:v>
                </c:pt>
                <c:pt idx="36">
                  <c:v>1.819465577329808</c:v>
                </c:pt>
                <c:pt idx="37">
                  <c:v>1.856440909549923</c:v>
                </c:pt>
                <c:pt idx="38">
                  <c:v>1.89416765757577</c:v>
                </c:pt>
                <c:pt idx="39">
                  <c:v>1.932661091742436</c:v>
                </c:pt>
                <c:pt idx="40">
                  <c:v>1.970798641736305</c:v>
                </c:pt>
                <c:pt idx="41">
                  <c:v>2.00968876688458</c:v>
                </c:pt>
                <c:pt idx="42">
                  <c:v>2.049346317888557</c:v>
                </c:pt>
                <c:pt idx="43">
                  <c:v>2.089786438501096</c:v>
                </c:pt>
                <c:pt idx="44">
                  <c:v>2.134710245995905</c:v>
                </c:pt>
                <c:pt idx="45">
                  <c:v>2.180599773452644</c:v>
                </c:pt>
                <c:pt idx="46">
                  <c:v>2.22747578080011</c:v>
                </c:pt>
                <c:pt idx="47">
                  <c:v>2.275359474239993</c:v>
                </c:pt>
                <c:pt idx="48">
                  <c:v>2.332870268460164</c:v>
                </c:pt>
                <c:pt idx="49">
                  <c:v>2.391834675390449</c:v>
                </c:pt>
                <c:pt idx="50">
                  <c:v>2.452289435784296</c:v>
                </c:pt>
                <c:pt idx="51">
                  <c:v>2.514272219035191</c:v>
                </c:pt>
                <c:pt idx="52">
                  <c:v>2.589407653803564</c:v>
                </c:pt>
                <c:pt idx="53">
                  <c:v>2.666788403743098</c:v>
                </c:pt>
                <c:pt idx="54">
                  <c:v>2.746481566891272</c:v>
                </c:pt>
                <c:pt idx="55">
                  <c:v>2.82855624641459</c:v>
                </c:pt>
                <c:pt idx="56">
                  <c:v>2.906588400421049</c:v>
                </c:pt>
                <c:pt idx="57">
                  <c:v>2.98677324878054</c:v>
                </c:pt>
                <c:pt idx="58">
                  <c:v>3.069170178460351</c:v>
                </c:pt>
                <c:pt idx="59">
                  <c:v>3.153840214752267</c:v>
                </c:pt>
                <c:pt idx="60">
                  <c:v>3.233555028014686</c:v>
                </c:pt>
                <c:pt idx="61">
                  <c:v>3.315284671141896</c:v>
                </c:pt>
                <c:pt idx="62">
                  <c:v>3.399080069918176</c:v>
                </c:pt>
                <c:pt idx="63">
                  <c:v>3.484993437301254</c:v>
                </c:pt>
                <c:pt idx="64">
                  <c:v>3.577113409286357</c:v>
                </c:pt>
                <c:pt idx="65">
                  <c:v>3.671668418637013</c:v>
                </c:pt>
                <c:pt idx="66">
                  <c:v>3.768722831492766</c:v>
                </c:pt>
                <c:pt idx="67">
                  <c:v>3.868342715404393</c:v>
                </c:pt>
                <c:pt idx="68">
                  <c:v>4.001532191533594</c:v>
                </c:pt>
                <c:pt idx="69">
                  <c:v>4.139307465214013</c:v>
                </c:pt>
                <c:pt idx="70">
                  <c:v>4.281826428343657</c:v>
                </c:pt>
                <c:pt idx="71">
                  <c:v>4.42925240913803</c:v>
                </c:pt>
                <c:pt idx="72">
                  <c:v>4.581754359305967</c:v>
                </c:pt>
                <c:pt idx="73">
                  <c:v>4.739507047670047</c:v>
                </c:pt>
                <c:pt idx="74">
                  <c:v>4.902691260453491</c:v>
                </c:pt>
                <c:pt idx="75">
                  <c:v>5.071494008463047</c:v>
                </c:pt>
                <c:pt idx="76">
                  <c:v>5.223048364576996</c:v>
                </c:pt>
                <c:pt idx="77">
                  <c:v>5.37913170619675</c:v>
                </c:pt>
                <c:pt idx="78">
                  <c:v>5.53987937558655</c:v>
                </c:pt>
                <c:pt idx="79">
                  <c:v>5.705430759520928</c:v>
                </c:pt>
                <c:pt idx="80">
                  <c:v>5.921107371240896</c:v>
                </c:pt>
                <c:pt idx="81">
                  <c:v>6.144936987142956</c:v>
                </c:pt>
                <c:pt idx="82">
                  <c:v>6.377227806974234</c:v>
                </c:pt>
                <c:pt idx="83">
                  <c:v>6.618299681044276</c:v>
                </c:pt>
                <c:pt idx="84">
                  <c:v>6.86107117281115</c:v>
                </c:pt>
                <c:pt idx="85">
                  <c:v>7.11274797259596</c:v>
                </c:pt>
                <c:pt idx="86">
                  <c:v>7.37365674359263</c:v>
                </c:pt>
                <c:pt idx="87">
                  <c:v>7.644136131606139</c:v>
                </c:pt>
                <c:pt idx="88">
                  <c:v>7.863808306722612</c:v>
                </c:pt>
                <c:pt idx="89">
                  <c:v>8.089793276861257</c:v>
                </c:pt>
                <c:pt idx="90">
                  <c:v>8.322272454988786</c:v>
                </c:pt>
                <c:pt idx="91">
                  <c:v>8.561432467398871</c:v>
                </c:pt>
                <c:pt idx="92">
                  <c:v>8.757899659410005</c:v>
                </c:pt>
                <c:pt idx="93">
                  <c:v>8.958875367686813</c:v>
                </c:pt>
                <c:pt idx="94">
                  <c:v>9.164463053365528</c:v>
                </c:pt>
                <c:pt idx="95">
                  <c:v>9.374768551801766</c:v>
                </c:pt>
                <c:pt idx="96">
                  <c:v>9.567929993914967</c:v>
                </c:pt>
                <c:pt idx="97">
                  <c:v>9.765071410841741</c:v>
                </c:pt>
                <c:pt idx="98">
                  <c:v>9.966274807558567</c:v>
                </c:pt>
                <c:pt idx="99">
                  <c:v>10.17162387870491</c:v>
                </c:pt>
                <c:pt idx="100">
                  <c:v>10.36321748313485</c:v>
                </c:pt>
                <c:pt idx="101">
                  <c:v>10.55841996159476</c:v>
                </c:pt>
                <c:pt idx="102">
                  <c:v>10.75729929115413</c:v>
                </c:pt>
                <c:pt idx="103">
                  <c:v>10.95992472930455</c:v>
                </c:pt>
                <c:pt idx="104">
                  <c:v>11.21143236478719</c:v>
                </c:pt>
                <c:pt idx="105">
                  <c:v>11.46871158103051</c:v>
                </c:pt>
                <c:pt idx="106">
                  <c:v>11.73189482389211</c:v>
                </c:pt>
                <c:pt idx="107">
                  <c:v>12.00111757858848</c:v>
                </c:pt>
                <c:pt idx="108">
                  <c:v>12.25544279359624</c:v>
                </c:pt>
                <c:pt idx="109">
                  <c:v>12.51515761624388</c:v>
                </c:pt>
                <c:pt idx="110">
                  <c:v>12.78037626198783</c:v>
                </c:pt>
                <c:pt idx="111">
                  <c:v>13.05121536671498</c:v>
                </c:pt>
                <c:pt idx="112">
                  <c:v>13.24896904772527</c:v>
                </c:pt>
                <c:pt idx="113">
                  <c:v>13.44971911775025</c:v>
                </c:pt>
                <c:pt idx="114">
                  <c:v>13.6535109784587</c:v>
                </c:pt>
                <c:pt idx="115">
                  <c:v>13.8603907194513</c:v>
                </c:pt>
                <c:pt idx="116">
                  <c:v>14.0538145973841</c:v>
                </c:pt>
                <c:pt idx="117">
                  <c:v>14.24993773519433</c:v>
                </c:pt>
                <c:pt idx="118">
                  <c:v>14.4487978014675</c:v>
                </c:pt>
                <c:pt idx="119">
                  <c:v>14.65043299046002</c:v>
                </c:pt>
                <c:pt idx="120">
                  <c:v>14.8478501306462</c:v>
                </c:pt>
                <c:pt idx="121">
                  <c:v>15.04792750123408</c:v>
                </c:pt>
                <c:pt idx="122">
                  <c:v>15.25070094929238</c:v>
                </c:pt>
                <c:pt idx="123">
                  <c:v>15.45620680493532</c:v>
                </c:pt>
                <c:pt idx="124">
                  <c:v>15.71251600845751</c:v>
                </c:pt>
                <c:pt idx="125">
                  <c:v>15.9730755696929</c:v>
                </c:pt>
                <c:pt idx="126">
                  <c:v>16.23795597202812</c:v>
                </c:pt>
                <c:pt idx="127">
                  <c:v>16.50722886767092</c:v>
                </c:pt>
                <c:pt idx="128">
                  <c:v>16.74154712290935</c:v>
                </c:pt>
                <c:pt idx="129">
                  <c:v>16.97919149939916</c:v>
                </c:pt>
                <c:pt idx="130">
                  <c:v>17.22020921105701</c:v>
                </c:pt>
                <c:pt idx="131">
                  <c:v>17.46464814199582</c:v>
                </c:pt>
                <c:pt idx="132">
                  <c:v>17.70208410454605</c:v>
                </c:pt>
                <c:pt idx="133">
                  <c:v>17.94274806435415</c:v>
                </c:pt>
                <c:pt idx="134">
                  <c:v>18.1866839067953</c:v>
                </c:pt>
                <c:pt idx="135">
                  <c:v>18.43393611387659</c:v>
                </c:pt>
                <c:pt idx="136">
                  <c:v>18.68454977234835</c:v>
                </c:pt>
                <c:pt idx="137">
                  <c:v>18.9385705819258</c:v>
                </c:pt>
                <c:pt idx="138">
                  <c:v>19.19604486362244</c:v>
                </c:pt>
                <c:pt idx="139">
                  <c:v>19.45701956819674</c:v>
                </c:pt>
                <c:pt idx="140">
                  <c:v>19.74485659694485</c:v>
                </c:pt>
                <c:pt idx="141">
                  <c:v>20.03695173700482</c:v>
                </c:pt>
                <c:pt idx="142">
                  <c:v>20.33336798066096</c:v>
                </c:pt>
                <c:pt idx="143">
                  <c:v>20.63416925207263</c:v>
                </c:pt>
                <c:pt idx="144">
                  <c:v>20.95175006216781</c:v>
                </c:pt>
                <c:pt idx="145">
                  <c:v>21.27421876329986</c:v>
                </c:pt>
                <c:pt idx="146">
                  <c:v>21.60165058507345</c:v>
                </c:pt>
                <c:pt idx="147">
                  <c:v>21.93412191495321</c:v>
                </c:pt>
                <c:pt idx="148">
                  <c:v>22.28479362685237</c:v>
                </c:pt>
                <c:pt idx="149">
                  <c:v>22.64107170175084</c:v>
                </c:pt>
                <c:pt idx="150">
                  <c:v>23.00304577136116</c:v>
                </c:pt>
                <c:pt idx="151">
                  <c:v>23.37080690038264</c:v>
                </c:pt>
                <c:pt idx="152">
                  <c:v>23.77225471597131</c:v>
                </c:pt>
                <c:pt idx="153">
                  <c:v>24.18059832892496</c:v>
                </c:pt>
                <c:pt idx="154">
                  <c:v>24.59595619055767</c:v>
                </c:pt>
                <c:pt idx="155">
                  <c:v>25.01844878685962</c:v>
                </c:pt>
                <c:pt idx="156">
                  <c:v>25.53099660235531</c:v>
                </c:pt>
                <c:pt idx="157">
                  <c:v>26.05404487954659</c:v>
                </c:pt>
                <c:pt idx="158">
                  <c:v>26.5878087392329</c:v>
                </c:pt>
                <c:pt idx="159">
                  <c:v>27.13250770934926</c:v>
                </c:pt>
                <c:pt idx="160">
                  <c:v>27.45239605020887</c:v>
                </c:pt>
                <c:pt idx="161">
                  <c:v>27.77605582833164</c:v>
                </c:pt>
                <c:pt idx="162">
                  <c:v>28.10353150841731</c:v>
                </c:pt>
                <c:pt idx="163">
                  <c:v>28.43486807939801</c:v>
                </c:pt>
                <c:pt idx="164">
                  <c:v>28.87929750483019</c:v>
                </c:pt>
                <c:pt idx="165">
                  <c:v>29.33067324397969</c:v>
                </c:pt>
                <c:pt idx="166">
                  <c:v>29.78910386588242</c:v>
                </c:pt>
                <c:pt idx="167">
                  <c:v>30.2546996364795</c:v>
                </c:pt>
                <c:pt idx="168">
                  <c:v>30.75641121840224</c:v>
                </c:pt>
                <c:pt idx="169">
                  <c:v>31.26644264862821</c:v>
                </c:pt>
                <c:pt idx="170">
                  <c:v>31.78493189462375</c:v>
                </c:pt>
                <c:pt idx="171">
                  <c:v>32.3120192117601</c:v>
                </c:pt>
                <c:pt idx="172">
                  <c:v>32.77455577327624</c:v>
                </c:pt>
                <c:pt idx="173">
                  <c:v>33.24371340261661</c:v>
                </c:pt>
                <c:pt idx="174">
                  <c:v>33.71958687831936</c:v>
                </c:pt>
                <c:pt idx="175">
                  <c:v>34.20227233564807</c:v>
                </c:pt>
                <c:pt idx="176">
                  <c:v>34.63848554836366</c:v>
                </c:pt>
                <c:pt idx="177">
                  <c:v>35.08026219163381</c:v>
                </c:pt>
                <c:pt idx="178">
                  <c:v>35.52767322103401</c:v>
                </c:pt>
                <c:pt idx="179">
                  <c:v>35.98079049710178</c:v>
                </c:pt>
                <c:pt idx="180">
                  <c:v>36.41801842385862</c:v>
                </c:pt>
                <c:pt idx="181">
                  <c:v>36.860559415095</c:v>
                </c:pt>
                <c:pt idx="182">
                  <c:v>37.30847803359942</c:v>
                </c:pt>
                <c:pt idx="183">
                  <c:v>37.76183962670832</c:v>
                </c:pt>
                <c:pt idx="184">
                  <c:v>38.1751062570977</c:v>
                </c:pt>
                <c:pt idx="185">
                  <c:v>38.59289568906352</c:v>
                </c:pt>
                <c:pt idx="186">
                  <c:v>39.03392054803044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039780024"/>
        <c:axId val="-2039776552"/>
      </c:lineChart>
      <c:catAx>
        <c:axId val="-2039780024"/>
        <c:scaling>
          <c:orientation val="minMax"/>
        </c:scaling>
        <c:delete val="0"/>
        <c:axPos val="b"/>
        <c:majorGridlines>
          <c:spPr>
            <a:ln>
              <a:solidFill>
                <a:srgbClr val="FFFFFF"/>
              </a:solidFill>
            </a:ln>
          </c:spPr>
        </c:majorGridlines>
        <c:numFmt formatCode="yyyy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39776552"/>
        <c:crosses val="autoZero"/>
        <c:auto val="0"/>
        <c:lblAlgn val="ctr"/>
        <c:lblOffset val="100"/>
        <c:tickLblSkip val="12"/>
        <c:tickMarkSkip val="1"/>
        <c:noMultiLvlLbl val="1"/>
      </c:catAx>
      <c:valAx>
        <c:axId val="-2039776552"/>
        <c:scaling>
          <c:orientation val="minMax"/>
        </c:scaling>
        <c:delete val="0"/>
        <c:axPos val="l"/>
        <c:majorGridlines>
          <c:spPr>
            <a:ln>
              <a:solidFill>
                <a:srgbClr val="FFFFFF"/>
              </a:solidFill>
            </a:ln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-2039780024"/>
        <c:crosses val="autoZero"/>
        <c:crossBetween val="between"/>
        <c:majorUnit val="10.0"/>
      </c:valAx>
      <c:spPr>
        <a:solidFill>
          <a:schemeClr val="bg2"/>
        </a:solidFill>
      </c:spPr>
    </c:plotArea>
    <c:legend>
      <c:legendPos val="l"/>
      <c:layout>
        <c:manualLayout>
          <c:xMode val="edge"/>
          <c:yMode val="edge"/>
          <c:x val="0.132009345794393"/>
          <c:y val="0.0815678613221206"/>
          <c:w val="0.315242046537905"/>
          <c:h val="0.530938102935809"/>
        </c:manualLayout>
      </c:layout>
      <c:overlay val="0"/>
      <c:spPr>
        <a:solidFill>
          <a:schemeClr val="bg1">
            <a:alpha val="73000"/>
          </a:schemeClr>
        </a:solidFill>
      </c:spPr>
    </c:legend>
    <c:plotVisOnly val="0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Devanagari Sangam MN"/>
          <a:cs typeface="Devanagari Sangam M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>
                <a:solidFill>
                  <a:schemeClr val="tx2">
                    <a:lumMod val="50000"/>
                  </a:schemeClr>
                </a:solidFill>
              </a:rPr>
              <a:t>Quarterly</a:t>
            </a:r>
            <a:r>
              <a:rPr lang="en-US" baseline="0">
                <a:solidFill>
                  <a:schemeClr val="tx2">
                    <a:lumMod val="50000"/>
                  </a:schemeClr>
                </a:solidFill>
              </a:rPr>
              <a:t> Investment Returns since 1970</a:t>
            </a:r>
            <a:endParaRPr lang="en-US">
              <a:solidFill>
                <a:schemeClr val="tx2">
                  <a:lumMod val="50000"/>
                </a:schemeClr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78761623198587"/>
          <c:y val="0.0412748296653255"/>
          <c:w val="0.894052413831857"/>
          <c:h val="0.876168132716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Sheet1!$BG$5</c:f>
              <c:strCache>
                <c:ptCount val="1"/>
                <c:pt idx="0">
                  <c:v>Property</c:v>
                </c:pt>
              </c:strCache>
            </c:strRef>
          </c:tx>
          <c:invertIfNegative val="0"/>
          <c:cat>
            <c:strRef>
              <c:f>Sheet1!$BF$6:$BF$14</c:f>
              <c:strCache>
                <c:ptCount val="9"/>
                <c:pt idx="0">
                  <c:v>&lt; -10%</c:v>
                </c:pt>
                <c:pt idx="1">
                  <c:v>-5%</c:v>
                </c:pt>
                <c:pt idx="2">
                  <c:v>0%</c:v>
                </c:pt>
                <c:pt idx="3">
                  <c:v>5%</c:v>
                </c:pt>
                <c:pt idx="4">
                  <c:v>10%</c:v>
                </c:pt>
                <c:pt idx="5">
                  <c:v>15%</c:v>
                </c:pt>
                <c:pt idx="6">
                  <c:v>20%</c:v>
                </c:pt>
                <c:pt idx="7">
                  <c:v>25%</c:v>
                </c:pt>
                <c:pt idx="8">
                  <c:v>&gt; 30%</c:v>
                </c:pt>
              </c:strCache>
            </c:strRef>
          </c:cat>
          <c:val>
            <c:numRef>
              <c:f>Sheet1!$BG$6:$BG$14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20.0</c:v>
                </c:pt>
                <c:pt idx="3">
                  <c:v>132.0</c:v>
                </c:pt>
                <c:pt idx="4">
                  <c:v>25.0</c:v>
                </c:pt>
                <c:pt idx="5">
                  <c:v>6.0</c:v>
                </c:pt>
                <c:pt idx="6">
                  <c:v>1.0</c:v>
                </c:pt>
                <c:pt idx="7">
                  <c:v>0.0</c:v>
                </c:pt>
                <c:pt idx="8">
                  <c:v>0.0</c:v>
                </c:pt>
              </c:numCache>
            </c:numRef>
          </c:val>
        </c:ser>
        <c:ser>
          <c:idx val="1"/>
          <c:order val="1"/>
          <c:tx>
            <c:strRef>
              <c:f>Sheet1!$BH$5</c:f>
              <c:strCache>
                <c:ptCount val="1"/>
                <c:pt idx="0">
                  <c:v>Shares</c:v>
                </c:pt>
              </c:strCache>
            </c:strRef>
          </c:tx>
          <c:invertIfNegative val="0"/>
          <c:cat>
            <c:strRef>
              <c:f>Sheet1!$BF$6:$BF$14</c:f>
              <c:strCache>
                <c:ptCount val="9"/>
                <c:pt idx="0">
                  <c:v>&lt; -10%</c:v>
                </c:pt>
                <c:pt idx="1">
                  <c:v>-5%</c:v>
                </c:pt>
                <c:pt idx="2">
                  <c:v>0%</c:v>
                </c:pt>
                <c:pt idx="3">
                  <c:v>5%</c:v>
                </c:pt>
                <c:pt idx="4">
                  <c:v>10%</c:v>
                </c:pt>
                <c:pt idx="5">
                  <c:v>15%</c:v>
                </c:pt>
                <c:pt idx="6">
                  <c:v>20%</c:v>
                </c:pt>
                <c:pt idx="7">
                  <c:v>25%</c:v>
                </c:pt>
                <c:pt idx="8">
                  <c:v>&gt; 30%</c:v>
                </c:pt>
              </c:strCache>
            </c:strRef>
          </c:cat>
          <c:val>
            <c:numRef>
              <c:f>Sheet1!$BH$6:$BH$14</c:f>
              <c:numCache>
                <c:formatCode>General</c:formatCode>
                <c:ptCount val="9"/>
                <c:pt idx="0">
                  <c:v>10.0</c:v>
                </c:pt>
                <c:pt idx="1">
                  <c:v>4.0</c:v>
                </c:pt>
                <c:pt idx="2">
                  <c:v>19.0</c:v>
                </c:pt>
                <c:pt idx="3">
                  <c:v>97.0</c:v>
                </c:pt>
                <c:pt idx="4">
                  <c:v>33.0</c:v>
                </c:pt>
                <c:pt idx="5">
                  <c:v>8.0</c:v>
                </c:pt>
                <c:pt idx="6">
                  <c:v>6.0</c:v>
                </c:pt>
                <c:pt idx="7">
                  <c:v>4.0</c:v>
                </c:pt>
                <c:pt idx="8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-1998621976"/>
        <c:axId val="-2050013720"/>
      </c:barChart>
      <c:catAx>
        <c:axId val="-199862197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-2050013720"/>
        <c:crosses val="autoZero"/>
        <c:auto val="1"/>
        <c:lblAlgn val="ctr"/>
        <c:lblOffset val="100"/>
        <c:noMultiLvlLbl val="0"/>
      </c:catAx>
      <c:valAx>
        <c:axId val="-2050013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bg2">
                    <a:lumMod val="50000"/>
                  </a:schemeClr>
                </a:solidFill>
              </a:defRPr>
            </a:pPr>
            <a:endParaRPr lang="en-US"/>
          </a:p>
        </c:txPr>
        <c:crossAx val="-1998621976"/>
        <c:crosses val="autoZero"/>
        <c:crossBetween val="between"/>
      </c:valAx>
      <c:spPr>
        <a:pattFill prst="pct25">
          <a:fgClr>
            <a:schemeClr val="bg2">
              <a:lumMod val="90000"/>
            </a:schemeClr>
          </a:fgClr>
          <a:bgClr>
            <a:prstClr val="white"/>
          </a:bgClr>
        </a:pattFill>
      </c:spPr>
    </c:plotArea>
    <c:legend>
      <c:legendPos val="r"/>
      <c:layout>
        <c:manualLayout>
          <c:xMode val="edge"/>
          <c:yMode val="edge"/>
          <c:x val="0.658190029992906"/>
          <c:y val="0.410983960338291"/>
          <c:w val="0.187826482902613"/>
          <c:h val="0.134883104548818"/>
        </c:manualLayout>
      </c:layout>
      <c:overlay val="0"/>
    </c:legend>
    <c:plotVisOnly val="0"/>
    <c:dispBlanksAs val="gap"/>
    <c:showDLblsOverMax val="0"/>
  </c:chart>
  <c:spPr>
    <a:ln>
      <a:noFill/>
    </a:ln>
  </c:spPr>
  <c:txPr>
    <a:bodyPr/>
    <a:lstStyle/>
    <a:p>
      <a:pPr>
        <a:defRPr sz="1200">
          <a:latin typeface="Devanagari Sangam MN"/>
          <a:cs typeface="Devanagari Sangam M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4" Type="http://schemas.openxmlformats.org/officeDocument/2006/relationships/chart" Target="../charts/chart3.xml"/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635000</xdr:colOff>
      <xdr:row>1</xdr:row>
      <xdr:rowOff>12700</xdr:rowOff>
    </xdr:from>
    <xdr:to>
      <xdr:col>74</xdr:col>
      <xdr:colOff>584200</xdr:colOff>
      <xdr:row>30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72</xdr:col>
      <xdr:colOff>330200</xdr:colOff>
      <xdr:row>89</xdr:row>
      <xdr:rowOff>240164</xdr:rowOff>
    </xdr:from>
    <xdr:to>
      <xdr:col>74</xdr:col>
      <xdr:colOff>647699</xdr:colOff>
      <xdr:row>259</xdr:row>
      <xdr:rowOff>76199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668500" y="13041764"/>
          <a:ext cx="1968499" cy="648835"/>
        </a:xfrm>
        <a:prstGeom prst="rect">
          <a:avLst/>
        </a:prstGeom>
      </xdr:spPr>
    </xdr:pic>
    <xdr:clientData/>
  </xdr:twoCellAnchor>
  <xdr:twoCellAnchor>
    <xdr:from>
      <xdr:col>61</xdr:col>
      <xdr:colOff>368300</xdr:colOff>
      <xdr:row>32</xdr:row>
      <xdr:rowOff>76200</xdr:rowOff>
    </xdr:from>
    <xdr:to>
      <xdr:col>75</xdr:col>
      <xdr:colOff>139700</xdr:colOff>
      <xdr:row>90</xdr:row>
      <xdr:rowOff>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311150</xdr:colOff>
      <xdr:row>37</xdr:row>
      <xdr:rowOff>146050</xdr:rowOff>
    </xdr:from>
    <xdr:to>
      <xdr:col>61</xdr:col>
      <xdr:colOff>177800</xdr:colOff>
      <xdr:row>89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irdsectoradvantage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256"/>
  <sheetViews>
    <sheetView showGridLines="0" showRowColHeaders="0" tabSelected="1" workbookViewId="0">
      <selection activeCell="C4" sqref="C4"/>
    </sheetView>
  </sheetViews>
  <sheetFormatPr baseColWidth="10" defaultRowHeight="15" x14ac:dyDescent="0"/>
  <cols>
    <col min="1" max="1" width="7" style="5" customWidth="1"/>
    <col min="2" max="2" width="37.5" style="5" customWidth="1"/>
    <col min="3" max="3" width="11.6640625" style="5" customWidth="1"/>
    <col min="4" max="7" width="1.1640625" style="5" customWidth="1"/>
    <col min="8" max="13" width="4.33203125" style="16" hidden="1" customWidth="1"/>
    <col min="14" max="15" width="10.1640625" style="17" hidden="1" customWidth="1"/>
    <col min="16" max="22" width="10.1640625" style="16" hidden="1" customWidth="1"/>
    <col min="23" max="23" width="13.5" style="16" hidden="1" customWidth="1"/>
    <col min="24" max="27" width="10.1640625" style="16" hidden="1" customWidth="1"/>
    <col min="28" max="28" width="13.6640625" style="16" hidden="1" customWidth="1"/>
    <col min="29" max="29" width="15.33203125" style="18" hidden="1" customWidth="1"/>
    <col min="30" max="30" width="8.6640625" style="16" hidden="1" customWidth="1"/>
    <col min="31" max="31" width="8.6640625" style="17" hidden="1" customWidth="1"/>
    <col min="32" max="40" width="10.1640625" style="16" hidden="1" customWidth="1"/>
    <col min="41" max="42" width="10.83203125" style="16" hidden="1" customWidth="1"/>
    <col min="43" max="43" width="22.83203125" style="16" hidden="1" customWidth="1"/>
    <col min="44" max="46" width="10.83203125" style="16" hidden="1" customWidth="1"/>
    <col min="47" max="47" width="16" style="16" hidden="1" customWidth="1"/>
    <col min="48" max="61" width="10.83203125" style="16" hidden="1" customWidth="1"/>
    <col min="62" max="16384" width="10.83203125" style="5"/>
  </cols>
  <sheetData>
    <row r="1" spans="2:66" s="13" customFormat="1" ht="21" customHeight="1">
      <c r="B1" s="15" t="s">
        <v>83</v>
      </c>
      <c r="C1" s="14"/>
      <c r="H1" s="16"/>
      <c r="I1" s="16"/>
      <c r="J1" s="16"/>
      <c r="K1" s="16"/>
      <c r="L1" s="16"/>
      <c r="M1" s="16"/>
      <c r="N1" s="17"/>
      <c r="O1" s="17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8"/>
      <c r="AD1" s="16"/>
      <c r="AE1" s="17"/>
      <c r="AF1" s="19"/>
      <c r="AG1" s="19"/>
      <c r="AH1" s="19"/>
      <c r="AI1" s="19" t="s">
        <v>46</v>
      </c>
      <c r="AJ1" s="19" t="s">
        <v>11</v>
      </c>
      <c r="AK1" s="19" t="s">
        <v>12</v>
      </c>
      <c r="AL1" s="19" t="s">
        <v>13</v>
      </c>
      <c r="AM1" s="19" t="s">
        <v>5</v>
      </c>
      <c r="AN1" s="19" t="s">
        <v>14</v>
      </c>
      <c r="AO1" s="16"/>
      <c r="AP1" s="16"/>
      <c r="AQ1" s="16" t="s">
        <v>39</v>
      </c>
      <c r="AR1" s="16"/>
      <c r="AS1" s="16"/>
      <c r="AT1" s="20" t="s">
        <v>54</v>
      </c>
      <c r="AU1" s="21">
        <f>(AI3*AR3)+(AR4*AI4)</f>
        <v>0.14164385701207444</v>
      </c>
      <c r="AV1" s="16"/>
      <c r="AW1" s="16" t="s">
        <v>13</v>
      </c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6"/>
      <c r="BK1" s="6"/>
      <c r="BL1" s="6"/>
      <c r="BM1" s="6"/>
      <c r="BN1" s="6"/>
    </row>
    <row r="2" spans="2:66" ht="13" customHeight="1">
      <c r="B2" s="11"/>
      <c r="C2" s="12"/>
      <c r="AF2" s="19"/>
      <c r="AG2" s="19"/>
      <c r="AH2" s="19"/>
      <c r="AI2" s="19"/>
      <c r="AJ2" s="19"/>
      <c r="AK2" s="19"/>
      <c r="AL2" s="19"/>
      <c r="AM2" s="19"/>
      <c r="AN2" s="19"/>
      <c r="AT2" s="22"/>
      <c r="AU2" s="23"/>
    </row>
    <row r="3" spans="2:66" ht="22">
      <c r="B3" s="7" t="s">
        <v>8</v>
      </c>
      <c r="C3" s="1">
        <v>26268</v>
      </c>
      <c r="D3" s="8"/>
      <c r="E3" s="8"/>
      <c r="F3" s="8"/>
      <c r="G3" s="8"/>
      <c r="H3" s="17"/>
      <c r="I3" s="17"/>
      <c r="J3" s="17"/>
      <c r="K3" s="17"/>
      <c r="L3" s="17"/>
      <c r="M3" s="17"/>
      <c r="AF3" s="19" t="s">
        <v>8</v>
      </c>
      <c r="AG3" s="19"/>
      <c r="AH3" s="19"/>
      <c r="AI3" s="24">
        <f>VLOOKUP(C3,AE20:AK206,3)</f>
        <v>1.1822916666666667</v>
      </c>
      <c r="AJ3" s="19">
        <f>VLOOKUP(C3,AE20:AK206,2)</f>
        <v>1.1093750000000002</v>
      </c>
      <c r="AK3" s="25"/>
      <c r="AL3" s="19">
        <f>VLOOKUP(C3,AE20:AK206,5)</f>
        <v>0.90029999999999999</v>
      </c>
      <c r="AM3" s="19">
        <f>VLOOKUP(C3,AE20:AK206,6)</f>
        <v>1.0918367346938773</v>
      </c>
      <c r="AN3" s="19">
        <f>VLOOKUP(C3,AE20:AK206,7)</f>
        <v>1.1083235918485363</v>
      </c>
      <c r="AQ3" s="16" t="s">
        <v>40</v>
      </c>
      <c r="AR3" s="26">
        <f>C13</f>
        <v>0.04</v>
      </c>
      <c r="AT3" s="16" t="s">
        <v>52</v>
      </c>
      <c r="AU3" s="27">
        <f>AK5</f>
        <v>8.6661690743622621E-2</v>
      </c>
      <c r="AW3" s="16" t="s">
        <v>57</v>
      </c>
      <c r="AX3" s="27">
        <f>C23</f>
        <v>3.7000000000000002E-3</v>
      </c>
      <c r="AY3" s="16">
        <f>AX3*AX7</f>
        <v>7.1422950000000008E-3</v>
      </c>
      <c r="AZ3" s="18">
        <f t="shared" ref="AZ3:AZ4" si="0">AY3/AX$7</f>
        <v>3.7000000000000002E-3</v>
      </c>
      <c r="BD3" s="86">
        <f>MIN(BD20:BD206)</f>
        <v>-2.5853958236912389E-2</v>
      </c>
      <c r="BE3" s="86">
        <f>MIN(BE20:BE206)</f>
        <v>-0.20201461146778832</v>
      </c>
    </row>
    <row r="4" spans="2:66" ht="22">
      <c r="B4" s="7" t="s">
        <v>9</v>
      </c>
      <c r="C4" s="1">
        <v>27364</v>
      </c>
      <c r="D4" s="8"/>
      <c r="E4" s="8"/>
      <c r="F4" s="8"/>
      <c r="G4" s="8"/>
      <c r="H4" s="17"/>
      <c r="I4" s="17"/>
      <c r="J4" s="17"/>
      <c r="K4" s="17"/>
      <c r="L4" s="17"/>
      <c r="M4" s="17"/>
      <c r="AF4" s="19" t="s">
        <v>9</v>
      </c>
      <c r="AG4" s="19"/>
      <c r="AH4" s="19"/>
      <c r="AI4" s="24">
        <f>VLOOKUP(C4,AE20:AK206,3)</f>
        <v>2.3588047586351943</v>
      </c>
      <c r="AJ4" s="19">
        <f>VLOOKUP(C4,AE20:AK206,2)</f>
        <v>2.1171875000000004</v>
      </c>
      <c r="AK4" s="25"/>
      <c r="AL4" s="19">
        <f>VLOOKUP(C4,AE20:AK206,5)</f>
        <v>0.66705000000000003</v>
      </c>
      <c r="AM4" s="19">
        <f>VLOOKUP(C4,AE20:AK206,6)</f>
        <v>1.4999999999999998</v>
      </c>
      <c r="AN4" s="19">
        <f>VLOOKUP(C4,AE20:AK206,7)</f>
        <v>1.3301618183310782</v>
      </c>
      <c r="AQ4" s="16" t="s">
        <v>41</v>
      </c>
      <c r="AR4" s="26">
        <f>C14</f>
        <v>0.04</v>
      </c>
      <c r="AT4" s="28" t="s">
        <v>53</v>
      </c>
      <c r="AU4" s="29">
        <v>0.15</v>
      </c>
      <c r="AW4" s="16" t="s">
        <v>58</v>
      </c>
      <c r="AX4" s="27">
        <f>C24</f>
        <v>2.2000000000000001E-3</v>
      </c>
      <c r="AY4" s="16">
        <f>AX4*AX8</f>
        <v>9.9364099999999997E-3</v>
      </c>
      <c r="AZ4" s="18">
        <f t="shared" si="0"/>
        <v>5.1474654855337117E-3</v>
      </c>
      <c r="BD4" s="86">
        <f>MAX(BD20:BD206)</f>
        <v>0.16494882594467986</v>
      </c>
      <c r="BE4" s="86">
        <f>MAX(BE20:BE206)</f>
        <v>0.37174156404925651</v>
      </c>
    </row>
    <row r="5" spans="2:66" ht="19">
      <c r="AF5" s="19"/>
      <c r="AG5" s="19"/>
      <c r="AH5" s="19"/>
      <c r="AI5" s="30">
        <f>(AI4/AI3)-1</f>
        <v>0.99511239496897486</v>
      </c>
      <c r="AJ5" s="30">
        <f>(AJ4/AJ3)-1</f>
        <v>0.90845070422535223</v>
      </c>
      <c r="AK5" s="30">
        <f>AI5-AJ5</f>
        <v>8.6661690743622621E-2</v>
      </c>
      <c r="AL5" s="30">
        <f>(AL4/AL3)-1</f>
        <v>-0.25908030656447845</v>
      </c>
      <c r="AM5" s="30">
        <f>(AM4/AM3)-1</f>
        <v>0.37383177570093462</v>
      </c>
      <c r="AN5" s="30">
        <f>(AN4/AN3)-1</f>
        <v>0.20015655004920108</v>
      </c>
      <c r="AQ5" s="31" t="s">
        <v>42</v>
      </c>
      <c r="AR5" s="32">
        <f>C15</f>
        <v>0.08</v>
      </c>
      <c r="AT5" s="16" t="s">
        <v>48</v>
      </c>
      <c r="AU5" s="16">
        <f>VLOOKUP(C3,AE20:AN206,10)</f>
        <v>2.046875</v>
      </c>
      <c r="AW5" s="16" t="s">
        <v>59</v>
      </c>
      <c r="AX5" s="27">
        <f>C25</f>
        <v>3.7000000000000002E-3</v>
      </c>
      <c r="AZ5" s="18">
        <f>AY5/AX$7</f>
        <v>0</v>
      </c>
      <c r="BC5" s="16" t="s">
        <v>93</v>
      </c>
      <c r="BF5" s="50"/>
      <c r="BG5" s="50" t="s">
        <v>10</v>
      </c>
      <c r="BH5" s="50" t="s">
        <v>13</v>
      </c>
    </row>
    <row r="6" spans="2:66" ht="19" hidden="1">
      <c r="AF6" s="19"/>
      <c r="AG6" s="33" t="s">
        <v>15</v>
      </c>
      <c r="AH6" s="33"/>
      <c r="AI6" s="34"/>
      <c r="AJ6" s="34" t="s">
        <v>56</v>
      </c>
      <c r="AK6" s="34"/>
      <c r="AL6" s="34">
        <f>(AY6/AX7)+((AG7/365)*C25)</f>
        <v>1.9957602471835083E-2</v>
      </c>
      <c r="AM6" s="34"/>
      <c r="AN6" s="34">
        <f>(-C28+C29)*(AG7/365)</f>
        <v>-3.0027397260273973E-2</v>
      </c>
      <c r="AQ6" s="35" t="s">
        <v>43</v>
      </c>
      <c r="AR6" s="36">
        <f>C18</f>
        <v>1.5E-3</v>
      </c>
      <c r="AT6" s="16" t="s">
        <v>49</v>
      </c>
      <c r="AU6" s="16">
        <f>VLOOKUP(C4,AE20:AN206,10)</f>
        <v>6.7578125</v>
      </c>
      <c r="AX6" s="37" t="s">
        <v>62</v>
      </c>
      <c r="AY6" s="38">
        <f>SUM(AY3:AY4)</f>
        <v>1.7078705E-2</v>
      </c>
      <c r="BC6" s="26">
        <v>-0.1</v>
      </c>
      <c r="BD6" s="16">
        <f>COUNTIF(BD$20:BD$207,"&lt;"&amp;$BC6)</f>
        <v>0</v>
      </c>
      <c r="BE6" s="16">
        <f>COUNTIF(BE$20:BE$207,"&lt;"&amp;$BC6)</f>
        <v>10</v>
      </c>
      <c r="BF6" s="87" t="s">
        <v>94</v>
      </c>
      <c r="BG6" s="50">
        <f>BD6</f>
        <v>0</v>
      </c>
      <c r="BH6" s="50">
        <f>BE6</f>
        <v>10</v>
      </c>
    </row>
    <row r="7" spans="2:66" ht="29" hidden="1" customHeight="1">
      <c r="AF7" s="39" t="s">
        <v>16</v>
      </c>
      <c r="AG7" s="19">
        <f>(C4-C3)</f>
        <v>1096</v>
      </c>
      <c r="AH7" s="19"/>
      <c r="AI7" s="19"/>
      <c r="AJ7" s="19"/>
      <c r="AK7" s="19"/>
      <c r="AL7" s="19"/>
      <c r="AM7" s="19"/>
      <c r="AN7" s="19"/>
      <c r="AQ7" s="35" t="s">
        <v>44</v>
      </c>
      <c r="AR7" s="36">
        <f t="shared" ref="AR7:AR8" si="1">C19</f>
        <v>6.0000000000000001E-3</v>
      </c>
      <c r="AT7" s="35" t="s">
        <v>51</v>
      </c>
      <c r="AU7" s="40">
        <f>(AU6-AU5)*AR9</f>
        <v>4.5817871484374995E-2</v>
      </c>
      <c r="AW7" s="16" t="s">
        <v>61</v>
      </c>
      <c r="AX7" s="16">
        <f>VLOOKUP(C3,AE20:AO206,11)</f>
        <v>1.93035</v>
      </c>
      <c r="BC7" s="27">
        <f>BC6+5%</f>
        <v>-0.05</v>
      </c>
      <c r="BD7" s="16">
        <f>COUNTIF(BD$20:BD$207,"&lt;"&amp;$BC7)</f>
        <v>0</v>
      </c>
      <c r="BE7" s="16">
        <f>COUNTIF(BE$20:BE$207,"&lt;"&amp;BC7)</f>
        <v>14</v>
      </c>
      <c r="BF7" s="87">
        <f>BC7</f>
        <v>-0.05</v>
      </c>
      <c r="BG7" s="50">
        <f>BD7-BD6</f>
        <v>0</v>
      </c>
      <c r="BH7" s="50">
        <f>BE7-BE6</f>
        <v>4</v>
      </c>
    </row>
    <row r="8" spans="2:66" ht="29" hidden="1" customHeight="1">
      <c r="AF8" s="39"/>
      <c r="AG8" s="19"/>
      <c r="AH8" s="19"/>
      <c r="AI8" s="19"/>
      <c r="AJ8" s="19"/>
      <c r="AK8" s="19"/>
      <c r="AL8" s="19"/>
      <c r="AM8" s="19"/>
      <c r="AN8" s="19"/>
      <c r="AQ8" s="35" t="s">
        <v>45</v>
      </c>
      <c r="AR8" s="36">
        <f t="shared" si="1"/>
        <v>2.2258500000000001E-3</v>
      </c>
      <c r="AW8" s="16" t="s">
        <v>49</v>
      </c>
      <c r="AX8" s="16">
        <f>VLOOKUP(C4,AE20:AO206,11)</f>
        <v>4.5165499999999996</v>
      </c>
      <c r="BC8" s="27">
        <f t="shared" ref="BC8:BC10" si="2">BC7+5%</f>
        <v>0</v>
      </c>
      <c r="BD8" s="16">
        <f>COUNTIF(BD$20:BD$207,"&lt;"&amp;$BC8)</f>
        <v>20</v>
      </c>
      <c r="BE8" s="16">
        <f>COUNTIF(BE$20:BE$207,"&lt;"&amp;BC8)</f>
        <v>33</v>
      </c>
      <c r="BF8" s="87">
        <f t="shared" ref="BF8:BF16" si="3">BC8</f>
        <v>0</v>
      </c>
      <c r="BG8" s="50">
        <f t="shared" ref="BG8:BG17" si="4">BD8-BD7</f>
        <v>20</v>
      </c>
      <c r="BH8" s="50">
        <f t="shared" ref="BH8:BH17" si="5">BE8-BE7</f>
        <v>19</v>
      </c>
    </row>
    <row r="9" spans="2:66" ht="29" hidden="1" customHeight="1">
      <c r="AF9" s="39"/>
      <c r="AG9" s="19"/>
      <c r="AH9" s="19"/>
      <c r="AI9" s="19"/>
      <c r="AJ9" s="19"/>
      <c r="AK9" s="19"/>
      <c r="AL9" s="19"/>
      <c r="AM9" s="19"/>
      <c r="AN9" s="19"/>
      <c r="AQ9" s="35" t="s">
        <v>50</v>
      </c>
      <c r="AR9" s="36">
        <f>SUM(AR6:AR8)</f>
        <v>9.7258499999999994E-3</v>
      </c>
      <c r="AT9" s="37" t="s">
        <v>55</v>
      </c>
      <c r="AU9" s="41">
        <f>AU7+AU4+AU1</f>
        <v>0.3374617284964494</v>
      </c>
      <c r="BC9" s="27">
        <f t="shared" si="2"/>
        <v>0.05</v>
      </c>
      <c r="BD9" s="16">
        <f>COUNTIF(BD$20:BD$207,"&lt;"&amp;$BC9)</f>
        <v>152</v>
      </c>
      <c r="BE9" s="16">
        <f>COUNTIF(BE$20:BE$207,"&lt;"&amp;BC9)</f>
        <v>130</v>
      </c>
      <c r="BF9" s="87">
        <f t="shared" si="3"/>
        <v>0.05</v>
      </c>
      <c r="BG9" s="50">
        <f t="shared" si="4"/>
        <v>132</v>
      </c>
      <c r="BH9" s="50">
        <f t="shared" si="5"/>
        <v>97</v>
      </c>
    </row>
    <row r="10" spans="2:66" ht="19">
      <c r="B10" s="88" t="s">
        <v>20</v>
      </c>
      <c r="C10" s="89"/>
      <c r="AF10" s="39"/>
      <c r="AG10" s="19"/>
      <c r="AH10" s="19"/>
      <c r="AI10" s="19" t="s">
        <v>17</v>
      </c>
      <c r="AJ10" s="19" t="s">
        <v>18</v>
      </c>
      <c r="AK10" s="19" t="s">
        <v>15</v>
      </c>
      <c r="AL10" s="19" t="s">
        <v>4</v>
      </c>
      <c r="AM10" s="19" t="s">
        <v>76</v>
      </c>
      <c r="AN10" s="19"/>
      <c r="BC10" s="27">
        <f t="shared" si="2"/>
        <v>0.1</v>
      </c>
      <c r="BD10" s="16">
        <f>COUNTIF(BD$20:BD$207,"&lt;"&amp;$BC10)</f>
        <v>177</v>
      </c>
      <c r="BE10" s="16">
        <f>COUNTIF(BE$20:BE$207,"&lt;"&amp;BC10)</f>
        <v>163</v>
      </c>
      <c r="BF10" s="87">
        <f t="shared" si="3"/>
        <v>0.1</v>
      </c>
      <c r="BG10" s="50">
        <f t="shared" si="4"/>
        <v>25</v>
      </c>
      <c r="BH10" s="50">
        <f t="shared" si="5"/>
        <v>33</v>
      </c>
    </row>
    <row r="11" spans="2:66" s="91" customFormat="1" ht="6" customHeight="1">
      <c r="B11" s="90"/>
      <c r="C11" s="90"/>
      <c r="H11" s="92"/>
      <c r="I11" s="92"/>
      <c r="J11" s="92"/>
      <c r="K11" s="92"/>
      <c r="L11" s="92"/>
      <c r="M11" s="92"/>
      <c r="N11" s="93"/>
      <c r="O11" s="93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4"/>
      <c r="AD11" s="92"/>
      <c r="AE11" s="93"/>
      <c r="AF11" s="95"/>
      <c r="AG11" s="96"/>
      <c r="AH11" s="96"/>
      <c r="AI11" s="96"/>
      <c r="AJ11" s="96"/>
      <c r="AK11" s="96"/>
      <c r="AL11" s="96"/>
      <c r="AM11" s="96"/>
      <c r="AN11" s="96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27">
        <f t="shared" ref="BC11:BC17" si="6">BC10+5%</f>
        <v>0.15000000000000002</v>
      </c>
      <c r="BD11" s="16">
        <f t="shared" ref="BD11:BD17" si="7">COUNTIF(BD$20:BD$207,"&lt;"&amp;$BC11)</f>
        <v>183</v>
      </c>
      <c r="BE11" s="16">
        <f t="shared" ref="BE11:BE17" si="8">COUNTIF(BE$20:BE$207,"&lt;"&amp;BC11)</f>
        <v>171</v>
      </c>
      <c r="BF11" s="87">
        <f t="shared" ref="BF11:BF17" si="9">BC11</f>
        <v>0.15000000000000002</v>
      </c>
      <c r="BG11" s="50">
        <f t="shared" ref="BG11:BG17" si="10">BD11-BD10</f>
        <v>6</v>
      </c>
      <c r="BH11" s="50">
        <f t="shared" ref="BH11:BH17" si="11">BE11-BE10</f>
        <v>8</v>
      </c>
      <c r="BI11" s="92"/>
    </row>
    <row r="12" spans="2:66" ht="19">
      <c r="B12" s="120" t="s">
        <v>39</v>
      </c>
      <c r="C12" s="121"/>
      <c r="AF12" s="39"/>
      <c r="AG12" s="19" t="s">
        <v>10</v>
      </c>
      <c r="AH12" s="19"/>
      <c r="AI12" s="42">
        <f>(AK5-AK6)*(1-C16)</f>
        <v>8.2328606206441488E-2</v>
      </c>
      <c r="AJ12" s="42">
        <f>AJ5</f>
        <v>0.90845070422535223</v>
      </c>
      <c r="AK12" s="43">
        <f>-(AU9/AJ3)-(AI12*AR5)</f>
        <v>-0.31077714235246967</v>
      </c>
      <c r="AL12" s="44">
        <f>SUM(AI12:AK12)</f>
        <v>0.68000216807932401</v>
      </c>
      <c r="AM12" s="30">
        <f>AL12+AL$15</f>
        <v>0.44981822076984895</v>
      </c>
      <c r="AN12" s="19"/>
      <c r="BC12" s="27">
        <f t="shared" si="6"/>
        <v>0.2</v>
      </c>
      <c r="BD12" s="16">
        <f t="shared" si="7"/>
        <v>184</v>
      </c>
      <c r="BE12" s="16">
        <f t="shared" si="8"/>
        <v>177</v>
      </c>
      <c r="BF12" s="87">
        <f t="shared" si="9"/>
        <v>0.2</v>
      </c>
      <c r="BG12" s="50">
        <f t="shared" si="10"/>
        <v>1</v>
      </c>
      <c r="BH12" s="50">
        <f t="shared" si="11"/>
        <v>6</v>
      </c>
    </row>
    <row r="13" spans="2:66" ht="19">
      <c r="B13" s="118" t="s">
        <v>90</v>
      </c>
      <c r="C13" s="2">
        <v>0.04</v>
      </c>
      <c r="AF13" s="39"/>
      <c r="AG13" s="19" t="s">
        <v>13</v>
      </c>
      <c r="AH13" s="19"/>
      <c r="AI13" s="45">
        <f>(4.7%/AN13)*AL5</f>
        <v>0.12812432117017111</v>
      </c>
      <c r="AJ13" s="42">
        <f>AL5-AI13</f>
        <v>-0.38720462773464959</v>
      </c>
      <c r="AK13" s="43">
        <f>-AL6</f>
        <v>-1.9957602471835083E-2</v>
      </c>
      <c r="AL13" s="44">
        <f>SUM(AI13:AK13)</f>
        <v>-0.27903790903631354</v>
      </c>
      <c r="AM13" s="30">
        <f>AL13+AL$15</f>
        <v>-0.50922185634578865</v>
      </c>
      <c r="AN13" s="30">
        <f>(((AL5+1)^(1/AG7))^365)-1</f>
        <v>-9.503874281884106E-2</v>
      </c>
      <c r="BC13" s="27">
        <f t="shared" si="6"/>
        <v>0.25</v>
      </c>
      <c r="BD13" s="16">
        <f t="shared" si="7"/>
        <v>184</v>
      </c>
      <c r="BE13" s="16">
        <f t="shared" si="8"/>
        <v>181</v>
      </c>
      <c r="BF13" s="87">
        <f t="shared" si="9"/>
        <v>0.25</v>
      </c>
      <c r="BG13" s="50">
        <f t="shared" si="10"/>
        <v>0</v>
      </c>
      <c r="BH13" s="50">
        <f t="shared" si="11"/>
        <v>4</v>
      </c>
    </row>
    <row r="14" spans="2:66" ht="19">
      <c r="B14" s="118" t="s">
        <v>91</v>
      </c>
      <c r="C14" s="2">
        <v>0.04</v>
      </c>
      <c r="AF14" s="39"/>
      <c r="AG14" s="19" t="s">
        <v>5</v>
      </c>
      <c r="AH14" s="19"/>
      <c r="AI14" s="42"/>
      <c r="AJ14" s="42">
        <f>AM5</f>
        <v>0.37383177570093462</v>
      </c>
      <c r="AK14" s="19"/>
      <c r="AL14" s="44">
        <f>SUM(AI14:AK14)</f>
        <v>0.37383177570093462</v>
      </c>
      <c r="AM14" s="19"/>
      <c r="AN14" s="19"/>
      <c r="BC14" s="27">
        <f t="shared" si="6"/>
        <v>0.3</v>
      </c>
      <c r="BD14" s="16">
        <f t="shared" si="7"/>
        <v>184</v>
      </c>
      <c r="BE14" s="16">
        <f t="shared" si="8"/>
        <v>183</v>
      </c>
      <c r="BF14" s="87" t="s">
        <v>95</v>
      </c>
      <c r="BG14" s="50">
        <f t="shared" si="10"/>
        <v>0</v>
      </c>
      <c r="BH14" s="50">
        <v>3</v>
      </c>
    </row>
    <row r="15" spans="2:66" ht="19">
      <c r="B15" s="118" t="s">
        <v>63</v>
      </c>
      <c r="C15" s="2">
        <v>0.08</v>
      </c>
      <c r="AF15" s="39"/>
      <c r="AG15" s="19" t="s">
        <v>19</v>
      </c>
      <c r="AH15" s="19"/>
      <c r="AI15" s="43"/>
      <c r="AJ15" s="19"/>
      <c r="AK15" s="43">
        <f>AN6-AN5</f>
        <v>-0.23018394730947506</v>
      </c>
      <c r="AL15" s="44">
        <f>SUM(AI15:AK15)</f>
        <v>-0.23018394730947506</v>
      </c>
      <c r="AM15" s="19"/>
      <c r="AN15" s="19"/>
      <c r="BC15" s="27">
        <f t="shared" si="6"/>
        <v>0.35</v>
      </c>
      <c r="BD15" s="16">
        <f t="shared" si="7"/>
        <v>184</v>
      </c>
      <c r="BE15" s="16">
        <f t="shared" si="8"/>
        <v>183</v>
      </c>
      <c r="BF15" s="87">
        <f t="shared" si="9"/>
        <v>0.35</v>
      </c>
      <c r="BG15" s="50">
        <f t="shared" si="10"/>
        <v>0</v>
      </c>
      <c r="BH15" s="50">
        <f t="shared" si="11"/>
        <v>0</v>
      </c>
    </row>
    <row r="16" spans="2:66" ht="19">
      <c r="B16" s="118" t="s">
        <v>64</v>
      </c>
      <c r="C16" s="2">
        <v>0.05</v>
      </c>
      <c r="N16" s="46">
        <v>1</v>
      </c>
      <c r="O16" s="46">
        <v>2</v>
      </c>
      <c r="P16" s="46">
        <v>3</v>
      </c>
      <c r="Q16" s="46">
        <v>4</v>
      </c>
      <c r="R16" s="46">
        <v>5</v>
      </c>
      <c r="S16" s="46">
        <v>6</v>
      </c>
      <c r="T16" s="46">
        <v>7</v>
      </c>
      <c r="U16" s="46">
        <v>8</v>
      </c>
      <c r="V16" s="46">
        <v>9</v>
      </c>
      <c r="W16" s="46">
        <v>10</v>
      </c>
      <c r="X16" s="46">
        <v>11</v>
      </c>
      <c r="Y16" s="46">
        <v>12</v>
      </c>
      <c r="Z16" s="46">
        <v>13</v>
      </c>
      <c r="AA16" s="46"/>
      <c r="AE16" s="46"/>
      <c r="AF16" s="39"/>
      <c r="AG16" s="19"/>
      <c r="AH16" s="19"/>
      <c r="AI16" s="19"/>
      <c r="AJ16" s="19"/>
      <c r="AK16" s="19"/>
      <c r="AL16" s="19"/>
      <c r="AM16" s="19"/>
      <c r="AN16" s="19"/>
      <c r="BC16" s="27">
        <f t="shared" si="6"/>
        <v>0.39999999999999997</v>
      </c>
      <c r="BD16" s="16">
        <f t="shared" si="7"/>
        <v>184</v>
      </c>
      <c r="BE16" s="16">
        <f t="shared" si="8"/>
        <v>184</v>
      </c>
      <c r="BF16" s="87">
        <f t="shared" si="9"/>
        <v>0.39999999999999997</v>
      </c>
      <c r="BG16" s="50">
        <f t="shared" si="10"/>
        <v>0</v>
      </c>
      <c r="BH16" s="50">
        <f t="shared" si="11"/>
        <v>1</v>
      </c>
    </row>
    <row r="17" spans="2:61">
      <c r="B17" s="122" t="s">
        <v>66</v>
      </c>
      <c r="C17" s="123"/>
      <c r="W17" s="47" t="s">
        <v>6</v>
      </c>
      <c r="X17" s="47" t="s">
        <v>6</v>
      </c>
      <c r="Y17" s="47"/>
      <c r="AC17" s="18" t="s">
        <v>33</v>
      </c>
      <c r="AE17" s="48">
        <v>1</v>
      </c>
      <c r="AF17" s="48">
        <v>2</v>
      </c>
      <c r="AG17" s="49">
        <v>3</v>
      </c>
      <c r="AH17" s="48">
        <v>4</v>
      </c>
      <c r="AI17" s="49">
        <v>5</v>
      </c>
      <c r="AJ17" s="48">
        <v>6</v>
      </c>
      <c r="AK17" s="49">
        <v>7</v>
      </c>
      <c r="AL17" s="49">
        <v>8</v>
      </c>
      <c r="AN17" s="50">
        <v>10</v>
      </c>
      <c r="BC17" s="27">
        <f t="shared" si="6"/>
        <v>0.44999999999999996</v>
      </c>
      <c r="BD17" s="16">
        <f t="shared" si="7"/>
        <v>184</v>
      </c>
      <c r="BE17" s="16">
        <f t="shared" si="8"/>
        <v>184</v>
      </c>
      <c r="BF17" s="87">
        <f t="shared" si="9"/>
        <v>0.44999999999999996</v>
      </c>
      <c r="BG17" s="50">
        <f t="shared" si="10"/>
        <v>0</v>
      </c>
      <c r="BH17" s="50">
        <f t="shared" si="11"/>
        <v>0</v>
      </c>
    </row>
    <row r="18" spans="2:61">
      <c r="B18" s="118" t="s">
        <v>65</v>
      </c>
      <c r="C18" s="2">
        <v>1.5E-3</v>
      </c>
      <c r="O18" s="17" t="s">
        <v>25</v>
      </c>
      <c r="P18" s="16" t="s">
        <v>0</v>
      </c>
      <c r="U18" s="16" t="s">
        <v>1</v>
      </c>
      <c r="V18" s="51" t="s">
        <v>27</v>
      </c>
      <c r="W18" s="16" t="s">
        <v>2</v>
      </c>
      <c r="X18" s="16" t="s">
        <v>2</v>
      </c>
      <c r="AC18" s="18" t="s">
        <v>34</v>
      </c>
      <c r="AE18" s="52"/>
      <c r="AF18" s="53" t="s">
        <v>36</v>
      </c>
      <c r="AG18" s="53"/>
      <c r="AH18" s="53"/>
      <c r="AI18" s="53"/>
      <c r="AJ18" s="53"/>
      <c r="AK18" s="53"/>
      <c r="AL18" s="53"/>
      <c r="AN18" s="50"/>
      <c r="BD18" s="16" t="s">
        <v>92</v>
      </c>
    </row>
    <row r="19" spans="2:61" ht="17" customHeight="1">
      <c r="B19" s="118" t="s">
        <v>67</v>
      </c>
      <c r="C19" s="2">
        <v>6.0000000000000001E-3</v>
      </c>
      <c r="O19" s="17" t="s">
        <v>26</v>
      </c>
      <c r="P19" s="16" t="s">
        <v>3</v>
      </c>
      <c r="Q19" s="16" t="s">
        <v>28</v>
      </c>
      <c r="R19" s="16" t="s">
        <v>35</v>
      </c>
      <c r="S19" s="16" t="s">
        <v>29</v>
      </c>
      <c r="T19" s="16" t="s">
        <v>30</v>
      </c>
      <c r="U19" s="16" t="s">
        <v>4</v>
      </c>
      <c r="V19" s="51" t="s">
        <v>5</v>
      </c>
      <c r="W19" s="16" t="s">
        <v>6</v>
      </c>
      <c r="X19" s="16" t="s">
        <v>31</v>
      </c>
      <c r="Y19" s="16" t="s">
        <v>32</v>
      </c>
      <c r="Z19" s="54" t="s">
        <v>7</v>
      </c>
      <c r="AA19" s="54" t="s">
        <v>89</v>
      </c>
      <c r="AB19" s="54"/>
      <c r="AC19" s="55"/>
      <c r="AE19" s="56"/>
      <c r="AF19" s="57" t="s">
        <v>37</v>
      </c>
      <c r="AG19" s="57" t="s">
        <v>85</v>
      </c>
      <c r="AH19" s="85" t="s">
        <v>86</v>
      </c>
      <c r="AI19" s="85" t="s">
        <v>38</v>
      </c>
      <c r="AJ19" s="57" t="s">
        <v>5</v>
      </c>
      <c r="AK19" s="57" t="s">
        <v>87</v>
      </c>
      <c r="AL19" s="57" t="s">
        <v>88</v>
      </c>
      <c r="AN19" s="50" t="s">
        <v>47</v>
      </c>
      <c r="AO19" s="16" t="s">
        <v>60</v>
      </c>
      <c r="BD19" s="16" t="s">
        <v>10</v>
      </c>
      <c r="BE19" s="16" t="s">
        <v>13</v>
      </c>
    </row>
    <row r="20" spans="2:61" ht="19">
      <c r="B20" s="119" t="s">
        <v>68</v>
      </c>
      <c r="C20" s="113">
        <f>(3.8517%/20)+(240/800000)</f>
        <v>2.2258500000000001E-3</v>
      </c>
      <c r="N20" s="17">
        <v>25628</v>
      </c>
      <c r="O20" s="58">
        <v>12.8</v>
      </c>
      <c r="P20" s="59">
        <f>(O20/O$150)*P$150</f>
        <v>2.3665116279069767</v>
      </c>
      <c r="Q20" s="60">
        <f t="shared" ref="Q20:Q85" si="12">(P20*R20)/4</f>
        <v>2.4611720930232558E-2</v>
      </c>
      <c r="R20" s="18">
        <v>4.1599999999999998E-2</v>
      </c>
      <c r="S20" s="60">
        <f>Q20</f>
        <v>2.4611720930232558E-2</v>
      </c>
      <c r="T20" s="61">
        <f>S20+P20</f>
        <v>2.3911233488372092</v>
      </c>
      <c r="V20" s="62">
        <v>9.8000000000000007</v>
      </c>
      <c r="W20" s="62">
        <f>Y20/4000</f>
        <v>2.5</v>
      </c>
      <c r="X20" s="62"/>
      <c r="Y20" s="62">
        <v>10000</v>
      </c>
      <c r="Z20" s="63">
        <v>100</v>
      </c>
      <c r="AA20" s="82">
        <f>AB20+$C$29-$C$28</f>
        <v>4.8799999999999996E-2</v>
      </c>
      <c r="AB20" s="64">
        <v>5.8799999999999998E-2</v>
      </c>
      <c r="AE20" s="17">
        <v>25628</v>
      </c>
      <c r="AF20" s="65">
        <v>1</v>
      </c>
      <c r="AG20" s="66">
        <v>1</v>
      </c>
      <c r="AH20" s="66">
        <f>AG20*0.9</f>
        <v>0.9</v>
      </c>
      <c r="AI20" s="66">
        <v>1</v>
      </c>
      <c r="AJ20" s="66">
        <v>1</v>
      </c>
      <c r="AK20" s="66">
        <v>1</v>
      </c>
      <c r="AL20" s="24">
        <f>(SUM(AR$6:AR$8)*AF20)/4</f>
        <v>2.4314624999999999E-3</v>
      </c>
      <c r="AM20" s="19"/>
      <c r="AN20" s="67">
        <f>AF20</f>
        <v>1</v>
      </c>
      <c r="AO20" s="67">
        <f>AI20</f>
        <v>1</v>
      </c>
    </row>
    <row r="21" spans="2:61" s="91" customFormat="1" ht="10" customHeight="1">
      <c r="B21" s="98"/>
      <c r="C21" s="111"/>
      <c r="H21" s="92"/>
      <c r="I21" s="92"/>
      <c r="J21" s="92"/>
      <c r="K21" s="92"/>
      <c r="L21" s="92"/>
      <c r="M21" s="92"/>
      <c r="N21" s="93"/>
      <c r="O21" s="104"/>
      <c r="P21" s="101"/>
      <c r="Q21" s="102"/>
      <c r="R21" s="94"/>
      <c r="S21" s="102"/>
      <c r="T21" s="102"/>
      <c r="U21" s="92"/>
      <c r="V21" s="103"/>
      <c r="W21" s="103"/>
      <c r="X21" s="103"/>
      <c r="Y21" s="103"/>
      <c r="Z21" s="104"/>
      <c r="AA21" s="105"/>
      <c r="AB21" s="94"/>
      <c r="AC21" s="94"/>
      <c r="AD21" s="92"/>
      <c r="AE21" s="93"/>
      <c r="AF21" s="106"/>
      <c r="AG21" s="107"/>
      <c r="AH21" s="107"/>
      <c r="AI21" s="107"/>
      <c r="AJ21" s="107"/>
      <c r="AK21" s="107"/>
      <c r="AL21" s="108"/>
      <c r="AM21" s="96"/>
      <c r="AN21" s="112"/>
      <c r="AO21" s="11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</row>
    <row r="22" spans="2:61" ht="19">
      <c r="B22" s="114" t="s">
        <v>69</v>
      </c>
      <c r="C22" s="115"/>
      <c r="N22" s="17">
        <v>25720</v>
      </c>
      <c r="O22" s="68">
        <f>O20</f>
        <v>12.8</v>
      </c>
      <c r="P22" s="59">
        <f>(O22/O$150)*P$150</f>
        <v>2.3665116279069767</v>
      </c>
      <c r="Q22" s="60">
        <f t="shared" si="12"/>
        <v>2.4611720930232558E-2</v>
      </c>
      <c r="R22" s="18">
        <f>R20</f>
        <v>4.1599999999999998E-2</v>
      </c>
      <c r="S22" s="60">
        <f>Q22+S20</f>
        <v>4.9223441860465116E-2</v>
      </c>
      <c r="T22" s="61">
        <f t="shared" ref="T22:T86" si="13">S22+P22</f>
        <v>2.4157350697674418</v>
      </c>
      <c r="V22" s="62">
        <v>9.9</v>
      </c>
      <c r="W22" s="62">
        <f t="shared" ref="W22:W86" si="14">Y22/4000</f>
        <v>2.5750000000000002</v>
      </c>
      <c r="Y22" s="16">
        <v>10300</v>
      </c>
      <c r="Z22" s="63">
        <f>Z20*(1+AA20)^0.25</f>
        <v>101.19828897562293</v>
      </c>
      <c r="AA22" s="82">
        <f>AB22+$C$29-$C$28</f>
        <v>6.2499999999999993E-2</v>
      </c>
      <c r="AB22" s="69">
        <f>AC22</f>
        <v>7.2499999999999995E-2</v>
      </c>
      <c r="AC22" s="64">
        <v>7.2499999999999995E-2</v>
      </c>
      <c r="AE22" s="17">
        <v>25720</v>
      </c>
      <c r="AF22" s="65">
        <f t="shared" ref="AF22:AF28" si="15">P22/P$20</f>
        <v>1</v>
      </c>
      <c r="AG22" s="66">
        <f t="shared" ref="AG22:AG28" si="16">(T22/T$20)</f>
        <v>1.0102929532858274</v>
      </c>
      <c r="AH22" s="66">
        <f>AG22-((AG$20*AR$3)+(AR$4*AG22)+(AL22)+(20%*S22))</f>
        <v>0.91517362178230122</v>
      </c>
      <c r="AI22" s="66">
        <f t="shared" ref="AI22:AI28" si="17">Y22/Y$20</f>
        <v>1.03</v>
      </c>
      <c r="AJ22" s="66">
        <f t="shared" ref="AJ22:AJ28" si="18">V22/V$20</f>
        <v>1.010204081632653</v>
      </c>
      <c r="AK22" s="66">
        <f t="shared" ref="AK22:AK28" si="19">Z22/100</f>
        <v>1.0119828897562293</v>
      </c>
      <c r="AL22" s="24">
        <f>((SUM(AR$6:AR$8)*AF22)/4)+AL20</f>
        <v>4.8629249999999997E-3</v>
      </c>
      <c r="AM22" s="19"/>
      <c r="AN22" s="70">
        <f>AN20</f>
        <v>1</v>
      </c>
      <c r="AO22" s="70">
        <f>AO20</f>
        <v>1</v>
      </c>
      <c r="BD22" s="86">
        <f>(AH22/AH20)-1</f>
        <v>1.6859579758112364E-2</v>
      </c>
      <c r="BE22" s="86">
        <f>(AI22/AI20)-1</f>
        <v>3.0000000000000027E-2</v>
      </c>
    </row>
    <row r="23" spans="2:61" ht="19">
      <c r="B23" s="124" t="s">
        <v>70</v>
      </c>
      <c r="C23" s="2">
        <v>3.7000000000000002E-3</v>
      </c>
      <c r="N23" s="17">
        <v>25812</v>
      </c>
      <c r="O23" s="71">
        <f>(O25+O20)/2</f>
        <v>13.100000000000001</v>
      </c>
      <c r="P23" s="59">
        <f>(O23/O$150)*P$150</f>
        <v>2.4219767441860469</v>
      </c>
      <c r="Q23" s="60">
        <f t="shared" si="12"/>
        <v>2.5188558139534887E-2</v>
      </c>
      <c r="R23" s="18">
        <f t="shared" ref="R23:R24" si="20">R22</f>
        <v>4.1599999999999998E-2</v>
      </c>
      <c r="S23" s="60">
        <f t="shared" ref="S23:S87" si="21">Q23+S22</f>
        <v>7.4412000000000006E-2</v>
      </c>
      <c r="T23" s="61">
        <f t="shared" si="13"/>
        <v>2.4963887441860471</v>
      </c>
      <c r="V23" s="62">
        <v>9.9</v>
      </c>
      <c r="W23" s="62">
        <f t="shared" si="14"/>
        <v>2.5750000000000002</v>
      </c>
      <c r="Y23" s="16">
        <f>Y22</f>
        <v>10300</v>
      </c>
      <c r="Z23" s="63">
        <f>Z22*(1+AA22)^0.25</f>
        <v>102.74374799992388</v>
      </c>
      <c r="AA23" s="82">
        <f>AB23+$C$29-$C$28</f>
        <v>6.2499999999999993E-2</v>
      </c>
      <c r="AB23" s="72">
        <f>AB22</f>
        <v>7.2499999999999995E-2</v>
      </c>
      <c r="AE23" s="17">
        <v>25812</v>
      </c>
      <c r="AF23" s="65">
        <f t="shared" si="15"/>
        <v>1.0234375000000002</v>
      </c>
      <c r="AG23" s="66">
        <f t="shared" si="16"/>
        <v>1.0440234065716552</v>
      </c>
      <c r="AH23" s="66">
        <f>AG23-((AG$20*AR$3)+(AR$4*AG23)+(AL23)+(20%*S23))</f>
        <v>0.94002869540644518</v>
      </c>
      <c r="AI23" s="66">
        <f t="shared" si="17"/>
        <v>1.03</v>
      </c>
      <c r="AJ23" s="66">
        <f t="shared" si="18"/>
        <v>1.010204081632653</v>
      </c>
      <c r="AK23" s="66">
        <f t="shared" si="19"/>
        <v>1.0274374799992387</v>
      </c>
      <c r="AL23" s="24">
        <f t="shared" ref="AL23:AL87" si="22">((SUM(AR$6:AR$8)*AF23)/4)+AL22</f>
        <v>7.35137490234375E-3</v>
      </c>
      <c r="AM23" s="19"/>
      <c r="AN23" s="70">
        <f t="shared" ref="AN23:AO24" si="23">AN22</f>
        <v>1</v>
      </c>
      <c r="AO23" s="70">
        <f t="shared" si="23"/>
        <v>1</v>
      </c>
      <c r="BD23" s="86">
        <f t="shared" ref="BD23:BD87" si="24">(AH23/AH22)-1</f>
        <v>2.7158861480009344E-2</v>
      </c>
      <c r="BE23" s="86">
        <f t="shared" ref="BE23:BE87" si="25">(AI23/AI22)-1</f>
        <v>0</v>
      </c>
    </row>
    <row r="24" spans="2:61" ht="19">
      <c r="B24" s="124" t="s">
        <v>71</v>
      </c>
      <c r="C24" s="2">
        <v>2.2000000000000001E-3</v>
      </c>
      <c r="N24" s="17">
        <v>25903</v>
      </c>
      <c r="O24" s="68">
        <f t="shared" ref="O24:O85" si="26">O23</f>
        <v>13.100000000000001</v>
      </c>
      <c r="P24" s="59">
        <f>(O24/O$150)*P$150</f>
        <v>2.4219767441860469</v>
      </c>
      <c r="Q24" s="60">
        <f t="shared" si="12"/>
        <v>2.5188558139534887E-2</v>
      </c>
      <c r="R24" s="18">
        <f t="shared" si="20"/>
        <v>4.1599999999999998E-2</v>
      </c>
      <c r="S24" s="60">
        <f t="shared" si="21"/>
        <v>9.9600558139534889E-2</v>
      </c>
      <c r="T24" s="61">
        <f t="shared" si="13"/>
        <v>2.5215773023255816</v>
      </c>
      <c r="V24" s="62">
        <v>10.1</v>
      </c>
      <c r="W24" s="62">
        <f t="shared" si="14"/>
        <v>2.3258749999999999</v>
      </c>
      <c r="Y24" s="16">
        <f>(Y22+Y27)/2</f>
        <v>9303.5</v>
      </c>
      <c r="Z24" s="63">
        <f t="shared" ref="Z24:Z88" si="27">Z23*(1+AA23)^0.25</f>
        <v>104.31280864456814</v>
      </c>
      <c r="AA24" s="82">
        <f>AB24+$C$29-$C$28</f>
        <v>6.2499999999999993E-2</v>
      </c>
      <c r="AB24" s="72">
        <f t="shared" ref="AB24:AB25" si="28">AB23</f>
        <v>7.2499999999999995E-2</v>
      </c>
      <c r="AE24" s="17">
        <v>25903</v>
      </c>
      <c r="AF24" s="65">
        <f t="shared" si="15"/>
        <v>1.0234375000000002</v>
      </c>
      <c r="AG24" s="66">
        <f t="shared" si="16"/>
        <v>1.054557600950119</v>
      </c>
      <c r="AH24" s="66">
        <f>AG24-((AG$20*AR$3)+(AR$4*AG24)+(AL24)+(20%*S24))</f>
        <v>0.94261536047951977</v>
      </c>
      <c r="AI24" s="66">
        <f t="shared" si="17"/>
        <v>0.93035000000000001</v>
      </c>
      <c r="AJ24" s="66">
        <f t="shared" si="18"/>
        <v>1.0306122448979591</v>
      </c>
      <c r="AK24" s="66">
        <f t="shared" si="19"/>
        <v>1.0431280864456813</v>
      </c>
      <c r="AL24" s="24">
        <f t="shared" si="22"/>
        <v>9.8398248046875011E-3</v>
      </c>
      <c r="AM24" s="19"/>
      <c r="AN24" s="70">
        <f t="shared" si="23"/>
        <v>1</v>
      </c>
      <c r="AO24" s="70">
        <f t="shared" si="23"/>
        <v>1</v>
      </c>
      <c r="BD24" s="86">
        <f t="shared" si="24"/>
        <v>2.7516873534974007E-3</v>
      </c>
      <c r="BE24" s="86">
        <f t="shared" si="25"/>
        <v>-9.6747572815534033E-2</v>
      </c>
    </row>
    <row r="25" spans="2:61" ht="19">
      <c r="B25" s="125" t="s">
        <v>72</v>
      </c>
      <c r="C25" s="4">
        <v>3.7000000000000002E-3</v>
      </c>
      <c r="N25" s="17">
        <v>25993</v>
      </c>
      <c r="O25" s="68">
        <v>13.4</v>
      </c>
      <c r="P25" s="59">
        <f>(O25/O$150)*P$150</f>
        <v>2.4774418604651163</v>
      </c>
      <c r="Q25" s="60">
        <f t="shared" si="12"/>
        <v>2.4774418604651162E-2</v>
      </c>
      <c r="R25" s="18">
        <v>0.04</v>
      </c>
      <c r="S25" s="60">
        <f t="shared" si="21"/>
        <v>0.12437497674418604</v>
      </c>
      <c r="T25" s="61">
        <f t="shared" si="13"/>
        <v>2.6018168372093022</v>
      </c>
      <c r="V25" s="62">
        <v>10.199999999999999</v>
      </c>
      <c r="W25" s="62">
        <f t="shared" si="14"/>
        <v>2.3258749999999999</v>
      </c>
      <c r="Y25" s="16">
        <f>Y24</f>
        <v>9303.5</v>
      </c>
      <c r="Z25" s="63">
        <f t="shared" si="27"/>
        <v>105.90583134388235</v>
      </c>
      <c r="AA25" s="82">
        <f>AB25+$C$29-$C$28</f>
        <v>6.2499999999999993E-2</v>
      </c>
      <c r="AB25" s="72">
        <f t="shared" si="28"/>
        <v>7.2499999999999995E-2</v>
      </c>
      <c r="AE25" s="17">
        <v>25993</v>
      </c>
      <c r="AF25" s="65">
        <f t="shared" si="15"/>
        <v>1.046875</v>
      </c>
      <c r="AG25" s="66">
        <f t="shared" si="16"/>
        <v>1.0881148555027711</v>
      </c>
      <c r="AH25" s="66">
        <f>AG25-((AG$20*AR$3)+(AR$4*AG25)+(AL25)+(20%*S25))</f>
        <v>0.967330003824448</v>
      </c>
      <c r="AI25" s="66">
        <f t="shared" si="17"/>
        <v>0.93035000000000001</v>
      </c>
      <c r="AJ25" s="66">
        <f t="shared" si="18"/>
        <v>1.0408163265306121</v>
      </c>
      <c r="AK25" s="66">
        <f t="shared" si="19"/>
        <v>1.0590583134388236</v>
      </c>
      <c r="AL25" s="24">
        <f t="shared" si="22"/>
        <v>1.2385262109375001E-2</v>
      </c>
      <c r="AM25" s="19"/>
      <c r="AN25" s="73">
        <f>AN24+AF25</f>
        <v>2.046875</v>
      </c>
      <c r="AO25" s="73">
        <f>AO24+AI25</f>
        <v>1.93035</v>
      </c>
      <c r="BD25" s="86">
        <f t="shared" si="24"/>
        <v>2.6219224066490465E-2</v>
      </c>
      <c r="BE25" s="86">
        <f t="shared" si="25"/>
        <v>0</v>
      </c>
    </row>
    <row r="26" spans="2:61" s="91" customFormat="1" ht="10" customHeight="1">
      <c r="B26" s="98"/>
      <c r="C26" s="99"/>
      <c r="H26" s="92"/>
      <c r="I26" s="92"/>
      <c r="J26" s="92"/>
      <c r="K26" s="92"/>
      <c r="L26" s="92"/>
      <c r="M26" s="92"/>
      <c r="N26" s="93"/>
      <c r="O26" s="100"/>
      <c r="P26" s="101"/>
      <c r="Q26" s="102"/>
      <c r="R26" s="94"/>
      <c r="S26" s="102"/>
      <c r="T26" s="102"/>
      <c r="U26" s="92"/>
      <c r="V26" s="103"/>
      <c r="W26" s="103"/>
      <c r="X26" s="92"/>
      <c r="Y26" s="92"/>
      <c r="Z26" s="104"/>
      <c r="AA26" s="105"/>
      <c r="AB26" s="97"/>
      <c r="AC26" s="94"/>
      <c r="AD26" s="92"/>
      <c r="AE26" s="93"/>
      <c r="AF26" s="106"/>
      <c r="AG26" s="107"/>
      <c r="AH26" s="107"/>
      <c r="AI26" s="107"/>
      <c r="AJ26" s="107"/>
      <c r="AK26" s="107"/>
      <c r="AL26" s="108"/>
      <c r="AM26" s="96"/>
      <c r="AN26" s="109"/>
      <c r="AO26" s="109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110"/>
      <c r="BE26" s="110"/>
      <c r="BF26" s="92"/>
      <c r="BG26" s="92"/>
      <c r="BH26" s="92"/>
      <c r="BI26" s="92"/>
    </row>
    <row r="27" spans="2:61" ht="19">
      <c r="B27" s="116" t="s">
        <v>74</v>
      </c>
      <c r="C27" s="117"/>
      <c r="N27" s="17">
        <v>26085</v>
      </c>
      <c r="O27" s="68">
        <f t="shared" ref="O27" si="29">O25</f>
        <v>13.4</v>
      </c>
      <c r="P27" s="59">
        <f>(O27/O$150)*P$150</f>
        <v>2.4774418604651163</v>
      </c>
      <c r="Q27" s="60">
        <f t="shared" si="12"/>
        <v>2.4774418604651162E-2</v>
      </c>
      <c r="R27" s="18">
        <f>R25</f>
        <v>0.04</v>
      </c>
      <c r="S27" s="60">
        <f>Q27+S25</f>
        <v>0.1491493953488372</v>
      </c>
      <c r="T27" s="61">
        <f t="shared" si="13"/>
        <v>2.6265912558139535</v>
      </c>
      <c r="V27" s="62">
        <v>10.3</v>
      </c>
      <c r="W27" s="62">
        <f t="shared" si="14"/>
        <v>2.0767500000000001</v>
      </c>
      <c r="Y27" s="74">
        <v>8307</v>
      </c>
      <c r="Z27" s="63">
        <f>Z25*(1+AA25)^0.25</f>
        <v>107.52318203659935</v>
      </c>
      <c r="AA27" s="82">
        <f>AB27+$C$29-$C$28</f>
        <v>6.2499999999999993E-2</v>
      </c>
      <c r="AB27" s="72">
        <f>AC27</f>
        <v>7.2499999999999995E-2</v>
      </c>
      <c r="AC27" s="64">
        <v>7.2499999999999995E-2</v>
      </c>
      <c r="AE27" s="17">
        <v>26085</v>
      </c>
      <c r="AF27" s="65">
        <f t="shared" si="15"/>
        <v>1.046875</v>
      </c>
      <c r="AG27" s="66">
        <f t="shared" si="16"/>
        <v>1.0984758511480601</v>
      </c>
      <c r="AH27" s="66">
        <f>AG27-((AG$20*AR$3)+(AR$4*AG27)+(AL27)+(20%*S27))</f>
        <v>0.96977623861830775</v>
      </c>
      <c r="AI27" s="66">
        <f t="shared" si="17"/>
        <v>0.83069999999999999</v>
      </c>
      <c r="AJ27" s="66">
        <f t="shared" si="18"/>
        <v>1.0510204081632653</v>
      </c>
      <c r="AK27" s="66">
        <f t="shared" si="19"/>
        <v>1.0752318203659934</v>
      </c>
      <c r="AL27" s="24">
        <f>((SUM(AR$6:AR$8)*AF27)/4)+AL25</f>
        <v>1.4930699414062502E-2</v>
      </c>
      <c r="AM27" s="19"/>
      <c r="AN27" s="70">
        <f>AN25</f>
        <v>2.046875</v>
      </c>
      <c r="AO27" s="70">
        <f>AO25</f>
        <v>1.93035</v>
      </c>
      <c r="BD27" s="86">
        <f>(AH27/AH25)-1</f>
        <v>2.5288523918294281E-3</v>
      </c>
      <c r="BE27" s="86">
        <f>(AI27/AI25)-1</f>
        <v>-0.10711022733379916</v>
      </c>
    </row>
    <row r="28" spans="2:61" ht="19">
      <c r="B28" s="83" t="s">
        <v>75</v>
      </c>
      <c r="C28" s="3">
        <v>0.01</v>
      </c>
      <c r="N28" s="17">
        <v>26177</v>
      </c>
      <c r="O28" s="71">
        <f>(O30+O25)/2</f>
        <v>14.2</v>
      </c>
      <c r="P28" s="59">
        <f>(O28/O$150)*P$150</f>
        <v>2.6253488372093026</v>
      </c>
      <c r="Q28" s="60">
        <f t="shared" si="12"/>
        <v>2.6253488372093025E-2</v>
      </c>
      <c r="R28" s="18">
        <f t="shared" ref="R28:R89" si="30">R27</f>
        <v>0.04</v>
      </c>
      <c r="S28" s="60">
        <f t="shared" si="21"/>
        <v>0.17540288372093021</v>
      </c>
      <c r="T28" s="61">
        <f t="shared" si="13"/>
        <v>2.8007517209302328</v>
      </c>
      <c r="V28" s="62">
        <v>10.5</v>
      </c>
      <c r="W28" s="62">
        <f t="shared" si="14"/>
        <v>2.0767500000000001</v>
      </c>
      <c r="Y28" s="16">
        <f t="shared" ref="Y28" si="31">Y27</f>
        <v>8307</v>
      </c>
      <c r="Z28" s="63">
        <f t="shared" si="27"/>
        <v>109.16523224991911</v>
      </c>
      <c r="AA28" s="82">
        <f>AB28+$C$29-$C$28</f>
        <v>6.2499999999999993E-2</v>
      </c>
      <c r="AB28" s="72">
        <f t="shared" ref="AB28:AB90" si="32">AB27</f>
        <v>7.2499999999999995E-2</v>
      </c>
      <c r="AE28" s="17">
        <v>26177</v>
      </c>
      <c r="AF28" s="65">
        <f t="shared" si="15"/>
        <v>1.1093750000000002</v>
      </c>
      <c r="AG28" s="66">
        <f t="shared" si="16"/>
        <v>1.1713121041171815</v>
      </c>
      <c r="AH28" s="66">
        <f>AG28-((AG$20*AR$3)+(AR$4*AG28)+(AL28)+(20%*S28))</f>
        <v>1.0317509400833083</v>
      </c>
      <c r="AI28" s="66">
        <f t="shared" si="17"/>
        <v>0.83069999999999999</v>
      </c>
      <c r="AJ28" s="66">
        <f t="shared" si="18"/>
        <v>1.0714285714285714</v>
      </c>
      <c r="AK28" s="66">
        <f t="shared" si="19"/>
        <v>1.0916523224991912</v>
      </c>
      <c r="AL28" s="24">
        <f t="shared" si="22"/>
        <v>1.7628103125000003E-2</v>
      </c>
      <c r="AM28" s="19"/>
      <c r="AN28" s="70">
        <f t="shared" ref="AN28:AN89" si="33">AN27</f>
        <v>2.046875</v>
      </c>
      <c r="AO28" s="70">
        <f t="shared" ref="AO28:AO89" si="34">AO27</f>
        <v>1.93035</v>
      </c>
      <c r="BD28" s="86">
        <f t="shared" si="24"/>
        <v>6.3906186805833931E-2</v>
      </c>
      <c r="BE28" s="86">
        <f t="shared" si="25"/>
        <v>0</v>
      </c>
    </row>
    <row r="29" spans="2:61" ht="19">
      <c r="B29" s="84" t="s">
        <v>73</v>
      </c>
      <c r="C29" s="4">
        <v>0</v>
      </c>
      <c r="N29" s="17">
        <v>26268</v>
      </c>
      <c r="O29" s="68">
        <f t="shared" si="26"/>
        <v>14.2</v>
      </c>
      <c r="P29" s="59">
        <f>(O29/O$150)*P$150</f>
        <v>2.6253488372093026</v>
      </c>
      <c r="Q29" s="60">
        <f t="shared" si="12"/>
        <v>2.6253488372093025E-2</v>
      </c>
      <c r="R29" s="18">
        <f t="shared" si="30"/>
        <v>0.04</v>
      </c>
      <c r="S29" s="60">
        <f t="shared" si="21"/>
        <v>0.20165637209302323</v>
      </c>
      <c r="T29" s="61">
        <f t="shared" si="13"/>
        <v>2.8270052093023259</v>
      </c>
      <c r="V29" s="62">
        <v>10.7</v>
      </c>
      <c r="W29" s="62">
        <f t="shared" si="14"/>
        <v>2.25075</v>
      </c>
      <c r="Y29" s="16">
        <f t="shared" ref="Y29" si="35">(Y27+Y31)/2</f>
        <v>9003</v>
      </c>
      <c r="Z29" s="63">
        <f t="shared" si="27"/>
        <v>110.83235918485363</v>
      </c>
      <c r="AA29" s="82">
        <f>AB29+$C$29-$C$28</f>
        <v>6.2499999999999993E-2</v>
      </c>
      <c r="AB29" s="72">
        <f t="shared" si="32"/>
        <v>7.2499999999999995E-2</v>
      </c>
      <c r="AE29" s="17">
        <v>26268</v>
      </c>
      <c r="AF29" s="65">
        <f t="shared" ref="AF29:AF92" si="36">P29/P$20</f>
        <v>1.1093750000000002</v>
      </c>
      <c r="AG29" s="66">
        <f t="shared" ref="AG29:AG92" si="37">(T29/T$20)</f>
        <v>1.1822916666666667</v>
      </c>
      <c r="AH29" s="66">
        <f>AG29-((AG$20*AR$3)+(AR$4*AG29)+(AL29)+(20%*S29))</f>
        <v>1.034343218745458</v>
      </c>
      <c r="AI29" s="66">
        <f t="shared" ref="AI29:AI92" si="38">Y29/Y$20</f>
        <v>0.90029999999999999</v>
      </c>
      <c r="AJ29" s="66">
        <f t="shared" ref="AJ29:AJ92" si="39">V29/V$20</f>
        <v>1.0918367346938773</v>
      </c>
      <c r="AK29" s="66">
        <f t="shared" ref="AK29:AK92" si="40">Z29/100</f>
        <v>1.1083235918485363</v>
      </c>
      <c r="AL29" s="24">
        <f t="shared" si="22"/>
        <v>2.0325506835937503E-2</v>
      </c>
      <c r="AM29" s="19"/>
      <c r="AN29" s="70">
        <f t="shared" si="33"/>
        <v>2.046875</v>
      </c>
      <c r="AO29" s="70">
        <f t="shared" si="34"/>
        <v>1.93035</v>
      </c>
      <c r="BD29" s="86">
        <f t="shared" si="24"/>
        <v>2.5125042890103977E-3</v>
      </c>
      <c r="BE29" s="86">
        <f t="shared" si="25"/>
        <v>8.37847598410979E-2</v>
      </c>
    </row>
    <row r="30" spans="2:61" ht="22" customHeight="1">
      <c r="N30" s="17">
        <v>26359</v>
      </c>
      <c r="O30" s="68">
        <v>15</v>
      </c>
      <c r="P30" s="59">
        <f>(O30/O$150)*P$150</f>
        <v>2.7732558139534884</v>
      </c>
      <c r="Q30" s="60">
        <f t="shared" si="12"/>
        <v>2.7663226744186045E-2</v>
      </c>
      <c r="R30" s="75">
        <v>3.9899999999999998E-2</v>
      </c>
      <c r="S30" s="60">
        <f t="shared" si="21"/>
        <v>0.22931959883720926</v>
      </c>
      <c r="T30" s="61">
        <f t="shared" si="13"/>
        <v>3.0025754127906978</v>
      </c>
      <c r="V30" s="62">
        <v>10.8</v>
      </c>
      <c r="W30" s="62">
        <f t="shared" si="14"/>
        <v>2.25075</v>
      </c>
      <c r="Y30" s="16">
        <f t="shared" ref="Y30" si="41">Y29</f>
        <v>9003</v>
      </c>
      <c r="Z30" s="63">
        <f t="shared" si="27"/>
        <v>112.52494580287498</v>
      </c>
      <c r="AA30" s="82">
        <f>AB30+$C$29-$C$28</f>
        <v>6.2499999999999993E-2</v>
      </c>
      <c r="AB30" s="72">
        <f t="shared" si="32"/>
        <v>7.2499999999999995E-2</v>
      </c>
      <c r="AE30" s="17">
        <v>26359</v>
      </c>
      <c r="AF30" s="65">
        <f t="shared" si="36"/>
        <v>1.171875</v>
      </c>
      <c r="AG30" s="66">
        <f t="shared" si="37"/>
        <v>1.25571749121635</v>
      </c>
      <c r="AH30" s="66">
        <f>AG30-((AG$20*AR$3)+(AR$4*AG30)+(AL30)+(20%*S30))</f>
        <v>1.0964499948471291</v>
      </c>
      <c r="AI30" s="66">
        <f t="shared" si="38"/>
        <v>0.90029999999999999</v>
      </c>
      <c r="AJ30" s="66">
        <f t="shared" si="39"/>
        <v>1.1020408163265305</v>
      </c>
      <c r="AK30" s="66">
        <f t="shared" si="40"/>
        <v>1.1252494580287498</v>
      </c>
      <c r="AL30" s="24">
        <f t="shared" si="22"/>
        <v>2.3174876953125003E-2</v>
      </c>
      <c r="AM30" s="19"/>
      <c r="AN30" s="73">
        <f t="shared" ref="AN30" si="42">AN29+AF30</f>
        <v>3.21875</v>
      </c>
      <c r="AO30" s="73">
        <f t="shared" ref="AO30" si="43">AO29+AI30</f>
        <v>2.8306499999999999</v>
      </c>
      <c r="BD30" s="86">
        <f t="shared" si="24"/>
        <v>6.0044649567094099E-2</v>
      </c>
      <c r="BE30" s="86">
        <f t="shared" si="25"/>
        <v>0</v>
      </c>
    </row>
    <row r="31" spans="2:61" ht="15" customHeight="1">
      <c r="B31" s="9" t="s">
        <v>80</v>
      </c>
      <c r="C31" s="10"/>
      <c r="N31" s="17">
        <v>26451</v>
      </c>
      <c r="O31" s="68">
        <f t="shared" ref="O31" si="44">O30</f>
        <v>15</v>
      </c>
      <c r="P31" s="59">
        <f>(O31/O$150)*P$150</f>
        <v>2.7732558139534884</v>
      </c>
      <c r="Q31" s="60">
        <f t="shared" si="12"/>
        <v>2.7663226744186045E-2</v>
      </c>
      <c r="R31" s="18">
        <f t="shared" ref="R31:R93" si="45">R30</f>
        <v>3.9899999999999998E-2</v>
      </c>
      <c r="S31" s="60">
        <f t="shared" si="21"/>
        <v>0.25698282558139529</v>
      </c>
      <c r="T31" s="61">
        <f t="shared" si="13"/>
        <v>3.0302386395348835</v>
      </c>
      <c r="V31" s="62">
        <v>11</v>
      </c>
      <c r="W31" s="62">
        <f t="shared" si="14"/>
        <v>2.42475</v>
      </c>
      <c r="Y31" s="74">
        <v>9699</v>
      </c>
      <c r="Z31" s="63">
        <f t="shared" si="27"/>
        <v>114.24338091388678</v>
      </c>
      <c r="AA31" s="82">
        <f>AB31+$C$29-$C$28</f>
        <v>6.0000000000000005E-2</v>
      </c>
      <c r="AB31" s="72">
        <f t="shared" ref="AB31" si="46">AC31</f>
        <v>7.0000000000000007E-2</v>
      </c>
      <c r="AC31" s="64">
        <v>7.0000000000000007E-2</v>
      </c>
      <c r="AE31" s="17">
        <v>26451</v>
      </c>
      <c r="AF31" s="65">
        <f t="shared" si="36"/>
        <v>1.171875</v>
      </c>
      <c r="AG31" s="66">
        <f t="shared" si="37"/>
        <v>1.2672866253463975</v>
      </c>
      <c r="AH31" s="66">
        <f>AG31-((AG$20*AR$3)+(AR$4*AG31)+(AL31)+(20%*S31))</f>
        <v>1.0991743481459499</v>
      </c>
      <c r="AI31" s="66">
        <f t="shared" si="38"/>
        <v>0.96989999999999998</v>
      </c>
      <c r="AJ31" s="66">
        <f t="shared" si="39"/>
        <v>1.1224489795918366</v>
      </c>
      <c r="AK31" s="66">
        <f t="shared" si="40"/>
        <v>1.1424338091388677</v>
      </c>
      <c r="AL31" s="24">
        <f>((SUM(AR$6:AR$8)*AF31)/4)+AL30</f>
        <v>2.6024247070312503E-2</v>
      </c>
      <c r="AM31" s="19"/>
      <c r="AN31" s="70">
        <f t="shared" ref="AN31:AO31" si="47">AN30</f>
        <v>3.21875</v>
      </c>
      <c r="AO31" s="70">
        <f t="shared" si="47"/>
        <v>2.8306499999999999</v>
      </c>
      <c r="BD31" s="86">
        <f t="shared" si="24"/>
        <v>2.4847036450583726E-3</v>
      </c>
      <c r="BE31" s="86">
        <f t="shared" si="25"/>
        <v>7.7307564145284946E-2</v>
      </c>
    </row>
    <row r="32" spans="2:61" ht="15" customHeight="1">
      <c r="B32" s="9" t="s">
        <v>82</v>
      </c>
      <c r="C32" s="10"/>
      <c r="N32" s="17">
        <v>26543</v>
      </c>
      <c r="O32" s="71">
        <f>(O34+O30)/2</f>
        <v>17.399999999999999</v>
      </c>
      <c r="P32" s="59">
        <f>(O32/O$150)*P$150</f>
        <v>3.2169767441860464</v>
      </c>
      <c r="Q32" s="60">
        <f t="shared" si="12"/>
        <v>3.2089343023255813E-2</v>
      </c>
      <c r="R32" s="18">
        <f t="shared" si="30"/>
        <v>3.9899999999999998E-2</v>
      </c>
      <c r="S32" s="60">
        <f t="shared" si="21"/>
        <v>0.28907216860465113</v>
      </c>
      <c r="T32" s="61">
        <f t="shared" si="13"/>
        <v>3.5060489127906975</v>
      </c>
      <c r="V32" s="62">
        <v>11.1</v>
      </c>
      <c r="W32" s="62">
        <f t="shared" si="14"/>
        <v>2.42475</v>
      </c>
      <c r="Y32" s="16">
        <f t="shared" ref="Y32" si="48">Y31</f>
        <v>9699</v>
      </c>
      <c r="Z32" s="63">
        <f t="shared" si="27"/>
        <v>115.91977071120471</v>
      </c>
      <c r="AA32" s="82">
        <f>AB32+$C$29-$C$28</f>
        <v>6.0000000000000005E-2</v>
      </c>
      <c r="AB32" s="72">
        <f t="shared" ref="AB32" si="49">AB31</f>
        <v>7.0000000000000007E-2</v>
      </c>
      <c r="AE32" s="17">
        <v>26543</v>
      </c>
      <c r="AF32" s="65">
        <f t="shared" si="36"/>
        <v>1.359375</v>
      </c>
      <c r="AG32" s="66">
        <f t="shared" si="37"/>
        <v>1.46627689219616</v>
      </c>
      <c r="AH32" s="66">
        <f>AG32-((AG$20*AR$3)+(AR$4*AG32)+(AL32)+(20%*S32))</f>
        <v>1.2804818663811333</v>
      </c>
      <c r="AI32" s="66">
        <f t="shared" si="38"/>
        <v>0.96989999999999998</v>
      </c>
      <c r="AJ32" s="66">
        <f t="shared" si="39"/>
        <v>1.1326530612244896</v>
      </c>
      <c r="AK32" s="66">
        <f t="shared" si="40"/>
        <v>1.1591977071120469</v>
      </c>
      <c r="AL32" s="24">
        <f t="shared" si="22"/>
        <v>2.9329516406250002E-2</v>
      </c>
      <c r="AM32" s="19"/>
      <c r="AN32" s="70">
        <f t="shared" si="33"/>
        <v>3.21875</v>
      </c>
      <c r="AO32" s="70">
        <f t="shared" si="34"/>
        <v>2.8306499999999999</v>
      </c>
      <c r="BD32" s="86">
        <f t="shared" si="24"/>
        <v>0.16494882594467986</v>
      </c>
      <c r="BE32" s="86">
        <f t="shared" si="25"/>
        <v>0</v>
      </c>
    </row>
    <row r="33" spans="2:57" ht="15" customHeight="1">
      <c r="B33" s="9" t="s">
        <v>84</v>
      </c>
      <c r="C33" s="10"/>
      <c r="N33" s="17">
        <v>26634</v>
      </c>
      <c r="O33" s="68">
        <f t="shared" si="26"/>
        <v>17.399999999999999</v>
      </c>
      <c r="P33" s="59">
        <f>(O33/O$150)*P$150</f>
        <v>3.2169767441860464</v>
      </c>
      <c r="Q33" s="60">
        <f t="shared" si="12"/>
        <v>3.2089343023255813E-2</v>
      </c>
      <c r="R33" s="18">
        <f t="shared" si="30"/>
        <v>3.9899999999999998E-2</v>
      </c>
      <c r="S33" s="60">
        <f t="shared" si="21"/>
        <v>0.32116151162790696</v>
      </c>
      <c r="T33" s="61">
        <f t="shared" si="13"/>
        <v>3.5381382558139531</v>
      </c>
      <c r="V33" s="62">
        <v>11.2</v>
      </c>
      <c r="W33" s="62">
        <f t="shared" si="14"/>
        <v>2.3133750000000002</v>
      </c>
      <c r="Y33" s="16">
        <f t="shared" ref="Y33" si="50">(Y31+Y35)/2</f>
        <v>9253.5</v>
      </c>
      <c r="Z33" s="63">
        <f t="shared" si="27"/>
        <v>117.62075959452719</v>
      </c>
      <c r="AA33" s="82">
        <f>AB33+$C$29-$C$28</f>
        <v>6.0000000000000005E-2</v>
      </c>
      <c r="AB33" s="72">
        <f t="shared" si="32"/>
        <v>7.0000000000000007E-2</v>
      </c>
      <c r="AE33" s="17">
        <v>26634</v>
      </c>
      <c r="AF33" s="65">
        <f t="shared" si="36"/>
        <v>1.359375</v>
      </c>
      <c r="AG33" s="66">
        <f t="shared" si="37"/>
        <v>1.479697087787015</v>
      </c>
      <c r="AH33" s="66">
        <f>AG33-((AG$20*AR$3)+(AR$4*AG33)+(AL33)+(20%*S33))</f>
        <v>1.2836421162077656</v>
      </c>
      <c r="AI33" s="66">
        <f t="shared" si="38"/>
        <v>0.92535000000000001</v>
      </c>
      <c r="AJ33" s="66">
        <f t="shared" si="39"/>
        <v>1.1428571428571428</v>
      </c>
      <c r="AK33" s="66">
        <f t="shared" si="40"/>
        <v>1.1762075959452718</v>
      </c>
      <c r="AL33" s="24">
        <f t="shared" si="22"/>
        <v>3.2634785742187505E-2</v>
      </c>
      <c r="AM33" s="19"/>
      <c r="AN33" s="70">
        <f t="shared" si="33"/>
        <v>3.21875</v>
      </c>
      <c r="AO33" s="70">
        <f t="shared" si="34"/>
        <v>2.8306499999999999</v>
      </c>
      <c r="BD33" s="86">
        <f t="shared" si="24"/>
        <v>2.4680160723897782E-3</v>
      </c>
      <c r="BE33" s="86">
        <f t="shared" si="25"/>
        <v>-4.5932570368079184E-2</v>
      </c>
    </row>
    <row r="34" spans="2:57" ht="15" customHeight="1">
      <c r="B34" s="9" t="s">
        <v>77</v>
      </c>
      <c r="C34" s="10"/>
      <c r="N34" s="17">
        <v>26724</v>
      </c>
      <c r="O34" s="68">
        <v>19.8</v>
      </c>
      <c r="P34" s="59">
        <f>(O34/O$150)*P$150</f>
        <v>3.6606976744186053</v>
      </c>
      <c r="Q34" s="60">
        <f t="shared" si="12"/>
        <v>3.4227523255813963E-2</v>
      </c>
      <c r="R34" s="75">
        <v>3.7400000000000003E-2</v>
      </c>
      <c r="S34" s="60">
        <f t="shared" si="21"/>
        <v>0.35538903488372092</v>
      </c>
      <c r="T34" s="61">
        <f t="shared" si="13"/>
        <v>4.0160867093023258</v>
      </c>
      <c r="V34" s="62">
        <v>11.5</v>
      </c>
      <c r="W34" s="62">
        <f t="shared" si="14"/>
        <v>2.3133750000000002</v>
      </c>
      <c r="Y34" s="16">
        <f t="shared" ref="Y34" si="51">Y33</f>
        <v>9253.5</v>
      </c>
      <c r="Z34" s="63">
        <f t="shared" si="27"/>
        <v>119.34670852705814</v>
      </c>
      <c r="AA34" s="82">
        <f>AB34+$C$29-$C$28</f>
        <v>6.0000000000000005E-2</v>
      </c>
      <c r="AB34" s="72">
        <f t="shared" si="32"/>
        <v>7.0000000000000007E-2</v>
      </c>
      <c r="AE34" s="17">
        <v>26724</v>
      </c>
      <c r="AF34" s="65">
        <f t="shared" si="36"/>
        <v>1.5468750000000002</v>
      </c>
      <c r="AG34" s="66">
        <f t="shared" si="37"/>
        <v>1.6795815704176564</v>
      </c>
      <c r="AH34" s="66">
        <f>AG34-((AG$20*AR$3)+(AR$4*AG34)+(AL34)+(20%*S34))</f>
        <v>1.464924546327331</v>
      </c>
      <c r="AI34" s="66">
        <f t="shared" si="38"/>
        <v>0.92535000000000001</v>
      </c>
      <c r="AJ34" s="66">
        <f t="shared" si="39"/>
        <v>1.1734693877551019</v>
      </c>
      <c r="AK34" s="66">
        <f t="shared" si="40"/>
        <v>1.1934670852705813</v>
      </c>
      <c r="AL34" s="24">
        <f t="shared" si="22"/>
        <v>3.6395954296875005E-2</v>
      </c>
      <c r="AM34" s="19"/>
      <c r="AN34" s="73">
        <f t="shared" ref="AN34" si="52">AN33+AF34</f>
        <v>4.765625</v>
      </c>
      <c r="AO34" s="73">
        <f t="shared" ref="AO34" si="53">AO33+AI34</f>
        <v>3.7559999999999998</v>
      </c>
      <c r="BD34" s="86">
        <f t="shared" si="24"/>
        <v>0.14122505629148718</v>
      </c>
      <c r="BE34" s="86">
        <f t="shared" si="25"/>
        <v>0</v>
      </c>
    </row>
    <row r="35" spans="2:57" ht="15" customHeight="1">
      <c r="B35" s="9" t="s">
        <v>78</v>
      </c>
      <c r="C35" s="10"/>
      <c r="N35" s="17">
        <v>26816</v>
      </c>
      <c r="O35" s="68">
        <f t="shared" ref="O35" si="54">O34</f>
        <v>19.8</v>
      </c>
      <c r="P35" s="59">
        <f>(O35/O$150)*P$150</f>
        <v>3.6606976744186053</v>
      </c>
      <c r="Q35" s="60">
        <f t="shared" si="12"/>
        <v>3.4227523255813963E-2</v>
      </c>
      <c r="R35" s="18">
        <f t="shared" si="45"/>
        <v>3.7400000000000003E-2</v>
      </c>
      <c r="S35" s="60">
        <f t="shared" si="21"/>
        <v>0.38961655813953489</v>
      </c>
      <c r="T35" s="61">
        <f t="shared" si="13"/>
        <v>4.05031423255814</v>
      </c>
      <c r="V35" s="62">
        <v>11.9</v>
      </c>
      <c r="W35" s="62">
        <f t="shared" si="14"/>
        <v>2.202</v>
      </c>
      <c r="Y35" s="74">
        <v>8808</v>
      </c>
      <c r="Z35" s="63">
        <f t="shared" si="27"/>
        <v>121.09798376872001</v>
      </c>
      <c r="AA35" s="82">
        <f>AB35+$C$29-$C$28</f>
        <v>6.0000000000000005E-2</v>
      </c>
      <c r="AB35" s="72">
        <f t="shared" ref="AB35" si="55">AC35</f>
        <v>7.0000000000000007E-2</v>
      </c>
      <c r="AC35" s="64">
        <v>7.0000000000000007E-2</v>
      </c>
      <c r="AE35" s="17">
        <v>26816</v>
      </c>
      <c r="AF35" s="65">
        <f t="shared" si="36"/>
        <v>1.5468750000000002</v>
      </c>
      <c r="AG35" s="66">
        <f t="shared" si="37"/>
        <v>1.6938959817893906</v>
      </c>
      <c r="AH35" s="66">
        <f>AG35-((AG$20*AR$3)+(AR$4*AG35)+(AL35)+(20%*S35))</f>
        <v>1.4680597080383455</v>
      </c>
      <c r="AI35" s="66">
        <f t="shared" si="38"/>
        <v>0.88080000000000003</v>
      </c>
      <c r="AJ35" s="66">
        <f t="shared" si="39"/>
        <v>1.2142857142857142</v>
      </c>
      <c r="AK35" s="66">
        <f t="shared" si="40"/>
        <v>1.2109798376872001</v>
      </c>
      <c r="AL35" s="24">
        <f t="shared" si="22"/>
        <v>4.0157122851562504E-2</v>
      </c>
      <c r="AM35" s="19"/>
      <c r="AN35" s="70">
        <f t="shared" ref="AN35:AO35" si="56">AN34</f>
        <v>4.765625</v>
      </c>
      <c r="AO35" s="70">
        <f t="shared" si="56"/>
        <v>3.7559999999999998</v>
      </c>
      <c r="BD35" s="86">
        <f t="shared" si="24"/>
        <v>2.1401523504227526E-3</v>
      </c>
      <c r="BE35" s="86">
        <f t="shared" si="25"/>
        <v>-4.8143945534122157E-2</v>
      </c>
    </row>
    <row r="36" spans="2:57" ht="15" customHeight="1">
      <c r="B36" s="9" t="s">
        <v>79</v>
      </c>
      <c r="C36" s="10"/>
      <c r="N36" s="17">
        <v>26908</v>
      </c>
      <c r="O36" s="71">
        <f>(O38+O34)/2</f>
        <v>22.65</v>
      </c>
      <c r="P36" s="59">
        <f>(O36/O$150)*P$150</f>
        <v>4.1876162790697675</v>
      </c>
      <c r="Q36" s="60">
        <f t="shared" si="12"/>
        <v>3.9154212209302326E-2</v>
      </c>
      <c r="R36" s="18">
        <f t="shared" si="30"/>
        <v>3.7400000000000003E-2</v>
      </c>
      <c r="S36" s="60">
        <f t="shared" si="21"/>
        <v>0.4287707703488372</v>
      </c>
      <c r="T36" s="61">
        <f t="shared" si="13"/>
        <v>4.6163870494186048</v>
      </c>
      <c r="V36" s="62">
        <v>12.3</v>
      </c>
      <c r="W36" s="62">
        <f t="shared" si="14"/>
        <v>2.202</v>
      </c>
      <c r="Y36" s="16">
        <f t="shared" ref="Y36" si="57">Y35</f>
        <v>8808</v>
      </c>
      <c r="Z36" s="63">
        <f t="shared" si="27"/>
        <v>122.87495695387702</v>
      </c>
      <c r="AA36" s="82">
        <f>AB36+$C$29-$C$28</f>
        <v>6.0000000000000005E-2</v>
      </c>
      <c r="AB36" s="72">
        <f t="shared" ref="AB36" si="58">AB35</f>
        <v>7.0000000000000007E-2</v>
      </c>
      <c r="AE36" s="17">
        <v>26908</v>
      </c>
      <c r="AF36" s="65">
        <f t="shared" si="36"/>
        <v>1.76953125</v>
      </c>
      <c r="AG36" s="66">
        <f t="shared" si="37"/>
        <v>1.9306352604785235</v>
      </c>
      <c r="AH36" s="66">
        <f>AG36-((AG$20*AR$3)+(AR$4*AG36)+(AL36)+(20%*S36))</f>
        <v>1.6831960242610995</v>
      </c>
      <c r="AI36" s="66">
        <f t="shared" si="38"/>
        <v>0.88080000000000003</v>
      </c>
      <c r="AJ36" s="66">
        <f t="shared" si="39"/>
        <v>1.2551020408163265</v>
      </c>
      <c r="AK36" s="66">
        <f t="shared" si="40"/>
        <v>1.2287495695387702</v>
      </c>
      <c r="AL36" s="24">
        <f t="shared" si="22"/>
        <v>4.4459671728515629E-2</v>
      </c>
      <c r="AM36" s="19"/>
      <c r="AN36" s="70">
        <f t="shared" si="33"/>
        <v>4.765625</v>
      </c>
      <c r="AO36" s="70">
        <f t="shared" si="34"/>
        <v>3.7559999999999998</v>
      </c>
      <c r="BD36" s="86">
        <f t="shared" si="24"/>
        <v>0.14654466371141273</v>
      </c>
      <c r="BE36" s="86">
        <f t="shared" si="25"/>
        <v>0</v>
      </c>
    </row>
    <row r="37" spans="2:57" ht="19" customHeight="1">
      <c r="B37" s="9" t="s">
        <v>81</v>
      </c>
      <c r="C37" s="10"/>
      <c r="N37" s="17">
        <v>26999</v>
      </c>
      <c r="O37" s="68">
        <f t="shared" si="26"/>
        <v>22.65</v>
      </c>
      <c r="P37" s="59">
        <f>(O37/O$150)*P$150</f>
        <v>4.1876162790697675</v>
      </c>
      <c r="Q37" s="60">
        <f t="shared" si="12"/>
        <v>3.9154212209302326E-2</v>
      </c>
      <c r="R37" s="18">
        <f t="shared" si="30"/>
        <v>3.7400000000000003E-2</v>
      </c>
      <c r="S37" s="60">
        <f t="shared" si="21"/>
        <v>0.46792498255813952</v>
      </c>
      <c r="T37" s="61">
        <f t="shared" si="13"/>
        <v>4.6555412616279073</v>
      </c>
      <c r="V37" s="62">
        <v>12.7</v>
      </c>
      <c r="W37" s="62">
        <f t="shared" si="14"/>
        <v>1.901375</v>
      </c>
      <c r="Y37" s="16">
        <f t="shared" ref="Y37" si="59">(Y35+Y39)/2</f>
        <v>7605.5</v>
      </c>
      <c r="Z37" s="63">
        <f t="shared" si="27"/>
        <v>124.67800517019884</v>
      </c>
      <c r="AA37" s="82">
        <f>AB37+$C$29-$C$28</f>
        <v>6.0000000000000005E-2</v>
      </c>
      <c r="AB37" s="72">
        <f t="shared" si="32"/>
        <v>7.0000000000000007E-2</v>
      </c>
      <c r="AE37" s="17">
        <v>26999</v>
      </c>
      <c r="AF37" s="65">
        <f t="shared" si="36"/>
        <v>1.76953125</v>
      </c>
      <c r="AG37" s="66">
        <f t="shared" si="37"/>
        <v>1.9470100795477041</v>
      </c>
      <c r="AH37" s="66">
        <f>AG37-((AG$20*AR$3)+(AR$4*AG37)+(AL37)+(20%*S37))</f>
        <v>1.6867824592486993</v>
      </c>
      <c r="AI37" s="66">
        <f t="shared" si="38"/>
        <v>0.76054999999999995</v>
      </c>
      <c r="AJ37" s="66">
        <f t="shared" si="39"/>
        <v>1.2959183673469385</v>
      </c>
      <c r="AK37" s="66">
        <f t="shared" si="40"/>
        <v>1.2467800517019885</v>
      </c>
      <c r="AL37" s="24">
        <f t="shared" si="22"/>
        <v>4.8762220605468753E-2</v>
      </c>
      <c r="AM37" s="19"/>
      <c r="AN37" s="70">
        <f t="shared" si="33"/>
        <v>4.765625</v>
      </c>
      <c r="AO37" s="70">
        <f t="shared" si="34"/>
        <v>3.7559999999999998</v>
      </c>
      <c r="BD37" s="86">
        <f t="shared" si="24"/>
        <v>2.13072924122093E-3</v>
      </c>
      <c r="BE37" s="86">
        <f t="shared" si="25"/>
        <v>-0.13652361489554954</v>
      </c>
    </row>
    <row r="38" spans="2:57" ht="19" customHeight="1">
      <c r="N38" s="17">
        <v>27089</v>
      </c>
      <c r="O38" s="68">
        <v>25.5</v>
      </c>
      <c r="P38" s="59">
        <f>(O38/O$150)*P$150</f>
        <v>4.7145348837209307</v>
      </c>
      <c r="Q38" s="60">
        <f t="shared" si="12"/>
        <v>3.9248502906976748E-2</v>
      </c>
      <c r="R38" s="75">
        <v>3.3300000000000003E-2</v>
      </c>
      <c r="S38" s="60">
        <f t="shared" si="21"/>
        <v>0.50717348546511631</v>
      </c>
      <c r="T38" s="61">
        <f t="shared" si="13"/>
        <v>5.2217083691860466</v>
      </c>
      <c r="V38" s="62">
        <v>13</v>
      </c>
      <c r="W38" s="62">
        <f t="shared" si="14"/>
        <v>1.901375</v>
      </c>
      <c r="Y38" s="16">
        <f t="shared" ref="Y38" si="60">Y37</f>
        <v>7605.5</v>
      </c>
      <c r="Z38" s="63">
        <f t="shared" si="27"/>
        <v>126.50751103868166</v>
      </c>
      <c r="AA38" s="82">
        <f>AB38+$C$29-$C$28</f>
        <v>6.0000000000000005E-2</v>
      </c>
      <c r="AB38" s="72">
        <f t="shared" si="32"/>
        <v>7.0000000000000007E-2</v>
      </c>
      <c r="AE38" s="17">
        <v>27089</v>
      </c>
      <c r="AF38" s="65">
        <f t="shared" si="36"/>
        <v>1.9921875000000002</v>
      </c>
      <c r="AG38" s="66">
        <f t="shared" si="37"/>
        <v>2.1837887918769794</v>
      </c>
      <c r="AH38" s="66">
        <f>AG38-((AG$20*AR$3)+(AR$4*AG38)+(AL38)+(20%*S38))</f>
        <v>1.9013963933041893</v>
      </c>
      <c r="AI38" s="66">
        <f t="shared" si="38"/>
        <v>0.76054999999999995</v>
      </c>
      <c r="AJ38" s="66">
        <f t="shared" si="39"/>
        <v>1.3265306122448979</v>
      </c>
      <c r="AK38" s="66">
        <f t="shared" si="40"/>
        <v>1.2650751103868165</v>
      </c>
      <c r="AL38" s="24">
        <f t="shared" si="22"/>
        <v>5.3606149804687503E-2</v>
      </c>
      <c r="AM38" s="19"/>
      <c r="AN38" s="73">
        <f t="shared" ref="AN38" si="61">AN37+AF38</f>
        <v>6.7578125</v>
      </c>
      <c r="AO38" s="73">
        <f t="shared" ref="AO38" si="62">AO37+AI38</f>
        <v>4.5165499999999996</v>
      </c>
      <c r="BD38" s="86">
        <f t="shared" si="24"/>
        <v>0.12723272813204378</v>
      </c>
      <c r="BE38" s="86">
        <f t="shared" si="25"/>
        <v>0</v>
      </c>
    </row>
    <row r="39" spans="2:57" ht="19" customHeight="1">
      <c r="N39" s="17">
        <v>27181</v>
      </c>
      <c r="O39" s="68">
        <f t="shared" ref="O39" si="63">O38</f>
        <v>25.5</v>
      </c>
      <c r="P39" s="59">
        <f>(O39/O$150)*P$150</f>
        <v>4.7145348837209307</v>
      </c>
      <c r="Q39" s="60">
        <f t="shared" si="12"/>
        <v>3.9248502906976748E-2</v>
      </c>
      <c r="R39" s="18">
        <f t="shared" si="45"/>
        <v>3.3300000000000003E-2</v>
      </c>
      <c r="S39" s="60">
        <f t="shared" si="21"/>
        <v>0.5464219883720931</v>
      </c>
      <c r="T39" s="61">
        <f t="shared" si="13"/>
        <v>5.2609568720930238</v>
      </c>
      <c r="V39" s="62">
        <v>13.6</v>
      </c>
      <c r="W39" s="62">
        <f t="shared" si="14"/>
        <v>1.6007499999999999</v>
      </c>
      <c r="Y39" s="74">
        <v>6403</v>
      </c>
      <c r="Z39" s="63">
        <f t="shared" si="27"/>
        <v>128.36386279484324</v>
      </c>
      <c r="AA39" s="82">
        <f>AB39+$C$29-$C$28</f>
        <v>7.3800000000000004E-2</v>
      </c>
      <c r="AB39" s="72">
        <f t="shared" ref="AB39" si="64">AC39</f>
        <v>8.3799999999999999E-2</v>
      </c>
      <c r="AC39" s="64">
        <v>8.3799999999999999E-2</v>
      </c>
      <c r="AE39" s="17">
        <v>27181</v>
      </c>
      <c r="AF39" s="65">
        <f t="shared" si="36"/>
        <v>1.9921875000000002</v>
      </c>
      <c r="AG39" s="66">
        <f t="shared" si="37"/>
        <v>2.2002030445863028</v>
      </c>
      <c r="AH39" s="66">
        <f>AG39-((AG$20*AR$3)+(AR$4*AG39)+(AL39)+(20%*S39))</f>
        <v>1.9044604461245258</v>
      </c>
      <c r="AI39" s="66">
        <f t="shared" si="38"/>
        <v>0.64029999999999998</v>
      </c>
      <c r="AJ39" s="66">
        <f t="shared" si="39"/>
        <v>1.3877551020408161</v>
      </c>
      <c r="AK39" s="66">
        <f t="shared" si="40"/>
        <v>1.2836386279484324</v>
      </c>
      <c r="AL39" s="24">
        <f t="shared" si="22"/>
        <v>5.8450079003906252E-2</v>
      </c>
      <c r="AM39" s="19"/>
      <c r="AN39" s="70">
        <f t="shared" ref="AN39:AO39" si="65">AN38</f>
        <v>6.7578125</v>
      </c>
      <c r="AO39" s="70">
        <f t="shared" si="65"/>
        <v>4.5165499999999996</v>
      </c>
      <c r="BD39" s="86">
        <f t="shared" si="24"/>
        <v>1.6114750354669916E-3</v>
      </c>
      <c r="BE39" s="86">
        <f t="shared" si="25"/>
        <v>-0.15810926303333106</v>
      </c>
    </row>
    <row r="40" spans="2:57" ht="19" customHeight="1">
      <c r="N40" s="17">
        <v>27273</v>
      </c>
      <c r="O40" s="71">
        <f>(O42+O38)/2</f>
        <v>27.1</v>
      </c>
      <c r="P40" s="59">
        <f>(O40/O$150)*P$150</f>
        <v>5.0103488372093032</v>
      </c>
      <c r="Q40" s="60">
        <f t="shared" si="12"/>
        <v>4.1711154069767456E-2</v>
      </c>
      <c r="R40" s="18">
        <f t="shared" si="30"/>
        <v>3.3300000000000003E-2</v>
      </c>
      <c r="S40" s="60">
        <f t="shared" si="21"/>
        <v>0.58813314244186055</v>
      </c>
      <c r="T40" s="61">
        <f t="shared" si="13"/>
        <v>5.5984819796511633</v>
      </c>
      <c r="V40" s="62">
        <v>14.3</v>
      </c>
      <c r="W40" s="62">
        <f t="shared" si="14"/>
        <v>1.6007499999999999</v>
      </c>
      <c r="Y40" s="16">
        <f t="shared" ref="Y40" si="66">Y39</f>
        <v>6403</v>
      </c>
      <c r="Z40" s="63">
        <f t="shared" si="27"/>
        <v>130.66931894794192</v>
      </c>
      <c r="AA40" s="82">
        <f>AB40+$C$29-$C$28</f>
        <v>7.3800000000000004E-2</v>
      </c>
      <c r="AB40" s="72">
        <f t="shared" ref="AB40" si="67">AB39</f>
        <v>8.3799999999999999E-2</v>
      </c>
      <c r="AE40" s="17">
        <v>27273</v>
      </c>
      <c r="AF40" s="65">
        <f t="shared" si="36"/>
        <v>2.1171875000000004</v>
      </c>
      <c r="AG40" s="66">
        <f t="shared" si="37"/>
        <v>2.3413605920303842</v>
      </c>
      <c r="AH40" s="66">
        <f>AG40-((AG$20*AR$3)+(AR$4*AG40)+(AL40)+(20%*S40))</f>
        <v>2.0264815988451716</v>
      </c>
      <c r="AI40" s="66">
        <f t="shared" si="38"/>
        <v>0.64029999999999998</v>
      </c>
      <c r="AJ40" s="66">
        <f t="shared" si="39"/>
        <v>1.4591836734693877</v>
      </c>
      <c r="AK40" s="66">
        <f t="shared" si="40"/>
        <v>1.3066931894794191</v>
      </c>
      <c r="AL40" s="24">
        <f t="shared" si="22"/>
        <v>6.3597941015625006E-2</v>
      </c>
      <c r="AM40" s="19"/>
      <c r="AN40" s="70">
        <f t="shared" si="33"/>
        <v>6.7578125</v>
      </c>
      <c r="AO40" s="70">
        <f t="shared" si="34"/>
        <v>4.5165499999999996</v>
      </c>
      <c r="BD40" s="86">
        <f t="shared" si="24"/>
        <v>6.4071245464274229E-2</v>
      </c>
      <c r="BE40" s="86">
        <f t="shared" si="25"/>
        <v>0</v>
      </c>
    </row>
    <row r="41" spans="2:57" ht="19" customHeight="1">
      <c r="N41" s="17">
        <v>27364</v>
      </c>
      <c r="O41" s="68">
        <f t="shared" si="26"/>
        <v>27.1</v>
      </c>
      <c r="P41" s="59">
        <f>(O41/O$150)*P$150</f>
        <v>5.0103488372093032</v>
      </c>
      <c r="Q41" s="60">
        <f t="shared" si="12"/>
        <v>4.1711154069767456E-2</v>
      </c>
      <c r="R41" s="18">
        <f t="shared" si="30"/>
        <v>3.3300000000000003E-2</v>
      </c>
      <c r="S41" s="60">
        <f t="shared" si="21"/>
        <v>0.62984429651162799</v>
      </c>
      <c r="T41" s="61">
        <f t="shared" si="13"/>
        <v>5.6401931337209312</v>
      </c>
      <c r="V41" s="62">
        <v>14.7</v>
      </c>
      <c r="W41" s="62">
        <f t="shared" si="14"/>
        <v>1.6676249999999999</v>
      </c>
      <c r="Y41" s="16">
        <f t="shared" ref="Y41" si="68">(Y39+Y43)/2</f>
        <v>6670.5</v>
      </c>
      <c r="Z41" s="63">
        <f t="shared" si="27"/>
        <v>133.01618183310782</v>
      </c>
      <c r="AA41" s="82">
        <f>AB41+$C$29-$C$28</f>
        <v>7.3800000000000004E-2</v>
      </c>
      <c r="AB41" s="72">
        <f t="shared" si="32"/>
        <v>8.3799999999999999E-2</v>
      </c>
      <c r="AE41" s="17">
        <v>27364</v>
      </c>
      <c r="AF41" s="65">
        <f t="shared" si="36"/>
        <v>2.1171875000000004</v>
      </c>
      <c r="AG41" s="66">
        <f t="shared" si="37"/>
        <v>2.3588047586351943</v>
      </c>
      <c r="AH41" s="66">
        <f>AG41-((AG$20*AR$3)+(AR$4*AG41)+(AL41)+(20%*S41))</f>
        <v>2.0297379059601171</v>
      </c>
      <c r="AI41" s="66">
        <f t="shared" si="38"/>
        <v>0.66705000000000003</v>
      </c>
      <c r="AJ41" s="66">
        <f t="shared" si="39"/>
        <v>1.4999999999999998</v>
      </c>
      <c r="AK41" s="66">
        <f t="shared" si="40"/>
        <v>1.3301618183310782</v>
      </c>
      <c r="AL41" s="24">
        <f t="shared" si="22"/>
        <v>6.874580302734376E-2</v>
      </c>
      <c r="AM41" s="19"/>
      <c r="AN41" s="70">
        <f t="shared" si="33"/>
        <v>6.7578125</v>
      </c>
      <c r="AO41" s="70">
        <f t="shared" si="34"/>
        <v>4.5165499999999996</v>
      </c>
      <c r="BD41" s="86">
        <f t="shared" si="24"/>
        <v>1.606877218525371E-3</v>
      </c>
      <c r="BE41" s="86">
        <f t="shared" si="25"/>
        <v>4.1777291894424584E-2</v>
      </c>
    </row>
    <row r="42" spans="2:57" ht="19" customHeight="1">
      <c r="N42" s="17">
        <v>27454</v>
      </c>
      <c r="O42" s="68">
        <v>28.7</v>
      </c>
      <c r="P42" s="59">
        <f>(O42/O$150)*P$150</f>
        <v>5.3061627906976749</v>
      </c>
      <c r="Q42" s="60">
        <f t="shared" si="12"/>
        <v>4.8020773255813963E-2</v>
      </c>
      <c r="R42" s="75">
        <v>3.6200000000000003E-2</v>
      </c>
      <c r="S42" s="60">
        <f t="shared" si="21"/>
        <v>0.67786506976744199</v>
      </c>
      <c r="T42" s="61">
        <f t="shared" si="13"/>
        <v>5.9840278604651171</v>
      </c>
      <c r="V42" s="62">
        <v>15.4</v>
      </c>
      <c r="W42" s="62">
        <f t="shared" si="14"/>
        <v>1.6676249999999999</v>
      </c>
      <c r="Y42" s="16">
        <f t="shared" ref="Y42" si="69">Y41</f>
        <v>6670.5</v>
      </c>
      <c r="Z42" s="63">
        <f t="shared" si="27"/>
        <v>135.40519512853157</v>
      </c>
      <c r="AA42" s="82">
        <f>AB42+$C$29-$C$28</f>
        <v>7.3800000000000004E-2</v>
      </c>
      <c r="AB42" s="72">
        <f t="shared" si="32"/>
        <v>8.3799999999999999E-2</v>
      </c>
      <c r="AE42" s="17">
        <v>27454</v>
      </c>
      <c r="AF42" s="65">
        <f t="shared" si="36"/>
        <v>2.2421875000000004</v>
      </c>
      <c r="AG42" s="66">
        <f t="shared" si="37"/>
        <v>2.502601073832146</v>
      </c>
      <c r="AH42" s="66">
        <f>AG42-((AG$20*AR$3)+(AR$4*AG42)+(AL42)+(20%*S42))</f>
        <v>2.1527264190738093</v>
      </c>
      <c r="AI42" s="66">
        <f t="shared" si="38"/>
        <v>0.66705000000000003</v>
      </c>
      <c r="AJ42" s="66">
        <f t="shared" si="39"/>
        <v>1.5714285714285714</v>
      </c>
      <c r="AK42" s="66">
        <f t="shared" si="40"/>
        <v>1.3540519512853157</v>
      </c>
      <c r="AL42" s="24">
        <f t="shared" si="22"/>
        <v>7.4197597851562505E-2</v>
      </c>
      <c r="AM42" s="19"/>
      <c r="AN42" s="73">
        <f t="shared" ref="AN42" si="70">AN41+AF42</f>
        <v>9</v>
      </c>
      <c r="AO42" s="73">
        <f t="shared" ref="AO42" si="71">AO41+AI42</f>
        <v>5.1835999999999993</v>
      </c>
      <c r="BD42" s="86">
        <f t="shared" si="24"/>
        <v>6.0593297662988377E-2</v>
      </c>
      <c r="BE42" s="86">
        <f t="shared" si="25"/>
        <v>0</v>
      </c>
    </row>
    <row r="43" spans="2:57" ht="19" customHeight="1">
      <c r="N43" s="17">
        <v>27546</v>
      </c>
      <c r="O43" s="68">
        <f t="shared" ref="O43" si="72">O42</f>
        <v>28.7</v>
      </c>
      <c r="P43" s="59">
        <f>(O43/O$150)*P$150</f>
        <v>5.3061627906976749</v>
      </c>
      <c r="Q43" s="60">
        <f t="shared" si="12"/>
        <v>4.8020773255813963E-2</v>
      </c>
      <c r="R43" s="18">
        <f t="shared" si="45"/>
        <v>3.6200000000000003E-2</v>
      </c>
      <c r="S43" s="60">
        <f t="shared" si="21"/>
        <v>0.72588584302325598</v>
      </c>
      <c r="T43" s="61">
        <f t="shared" si="13"/>
        <v>6.0320486337209314</v>
      </c>
      <c r="V43" s="62">
        <v>15.9</v>
      </c>
      <c r="W43" s="62">
        <f t="shared" si="14"/>
        <v>1.7344999999999999</v>
      </c>
      <c r="Y43" s="74">
        <v>6938</v>
      </c>
      <c r="Z43" s="63">
        <f t="shared" si="27"/>
        <v>137.83711586910266</v>
      </c>
      <c r="AA43" s="82">
        <f>AB43+$C$29-$C$28</f>
        <v>9.1300000000000006E-2</v>
      </c>
      <c r="AB43" s="72">
        <f t="shared" ref="AB43" si="73">AC43</f>
        <v>0.1013</v>
      </c>
      <c r="AC43" s="64">
        <v>0.1013</v>
      </c>
      <c r="AE43" s="17">
        <v>27546</v>
      </c>
      <c r="AF43" s="65">
        <f t="shared" si="36"/>
        <v>2.2421875000000004</v>
      </c>
      <c r="AG43" s="66">
        <f t="shared" si="37"/>
        <v>2.5226840081898265</v>
      </c>
      <c r="AH43" s="66">
        <f>AG43-((AG$20*AR$3)+(AR$4*AG43)+(AL43)+(20%*S43))</f>
        <v>2.156950086581801</v>
      </c>
      <c r="AI43" s="66">
        <f t="shared" si="38"/>
        <v>0.69379999999999997</v>
      </c>
      <c r="AJ43" s="66">
        <f t="shared" si="39"/>
        <v>1.6224489795918366</v>
      </c>
      <c r="AK43" s="66">
        <f t="shared" si="40"/>
        <v>1.3783711586910266</v>
      </c>
      <c r="AL43" s="24">
        <f t="shared" si="22"/>
        <v>7.964939267578125E-2</v>
      </c>
      <c r="AM43" s="19"/>
      <c r="AN43" s="70">
        <f t="shared" ref="AN43:AO43" si="74">AN42</f>
        <v>9</v>
      </c>
      <c r="AO43" s="70">
        <f t="shared" si="74"/>
        <v>5.1835999999999993</v>
      </c>
      <c r="BD43" s="86">
        <f t="shared" si="24"/>
        <v>1.962008488662903E-3</v>
      </c>
      <c r="BE43" s="86">
        <f t="shared" si="25"/>
        <v>4.0101941383704265E-2</v>
      </c>
    </row>
    <row r="44" spans="2:57" ht="19" customHeight="1">
      <c r="N44" s="17">
        <v>27638</v>
      </c>
      <c r="O44" s="71">
        <f>(O46+O42)/2</f>
        <v>30.799999999999997</v>
      </c>
      <c r="P44" s="59">
        <f>(O44/O$150)*P$150</f>
        <v>5.6944186046511627</v>
      </c>
      <c r="Q44" s="60">
        <f t="shared" si="12"/>
        <v>5.1534488372093026E-2</v>
      </c>
      <c r="R44" s="18">
        <f t="shared" si="30"/>
        <v>3.6200000000000003E-2</v>
      </c>
      <c r="S44" s="60">
        <f t="shared" si="21"/>
        <v>0.77742033139534905</v>
      </c>
      <c r="T44" s="61">
        <f t="shared" si="13"/>
        <v>6.4718389360465114</v>
      </c>
      <c r="V44" s="62">
        <v>15.9</v>
      </c>
      <c r="W44" s="62">
        <f t="shared" si="14"/>
        <v>1.7344999999999999</v>
      </c>
      <c r="Y44" s="16">
        <f t="shared" ref="Y44" si="75">Y43</f>
        <v>6938</v>
      </c>
      <c r="Z44" s="63">
        <f t="shared" si="27"/>
        <v>140.88093200717088</v>
      </c>
      <c r="AA44" s="82">
        <f>AB44+$C$29-$C$28</f>
        <v>9.1300000000000006E-2</v>
      </c>
      <c r="AB44" s="72">
        <f t="shared" ref="AB44" si="76">AB43</f>
        <v>0.1013</v>
      </c>
      <c r="AE44" s="17">
        <v>27638</v>
      </c>
      <c r="AF44" s="65">
        <f t="shared" si="36"/>
        <v>2.40625</v>
      </c>
      <c r="AG44" s="66">
        <f t="shared" si="37"/>
        <v>2.7066102379008314</v>
      </c>
      <c r="AH44" s="66">
        <f>AG44-((AG$20*AR$3)+(AR$4*AG44)+(AL44)+(20%*S44))</f>
        <v>2.3173616627893221</v>
      </c>
      <c r="AI44" s="66">
        <f t="shared" si="38"/>
        <v>0.69379999999999997</v>
      </c>
      <c r="AJ44" s="66">
        <f t="shared" si="39"/>
        <v>1.6224489795918366</v>
      </c>
      <c r="AK44" s="66">
        <f t="shared" si="40"/>
        <v>1.4088093200717089</v>
      </c>
      <c r="AL44" s="24">
        <f t="shared" si="22"/>
        <v>8.5500099316406244E-2</v>
      </c>
      <c r="AM44" s="19"/>
      <c r="AN44" s="70">
        <f t="shared" si="33"/>
        <v>9</v>
      </c>
      <c r="AO44" s="70">
        <f t="shared" si="34"/>
        <v>5.1835999999999993</v>
      </c>
      <c r="BD44" s="86">
        <f t="shared" si="24"/>
        <v>7.4369628303143198E-2</v>
      </c>
      <c r="BE44" s="86">
        <f t="shared" si="25"/>
        <v>0</v>
      </c>
    </row>
    <row r="45" spans="2:57" ht="19" customHeight="1">
      <c r="N45" s="17">
        <v>27729</v>
      </c>
      <c r="O45" s="68">
        <f t="shared" si="26"/>
        <v>30.799999999999997</v>
      </c>
      <c r="P45" s="59">
        <f>(O45/O$150)*P$150</f>
        <v>5.6944186046511627</v>
      </c>
      <c r="Q45" s="60">
        <f t="shared" si="12"/>
        <v>5.1534488372093026E-2</v>
      </c>
      <c r="R45" s="18">
        <f t="shared" si="30"/>
        <v>3.6200000000000003E-2</v>
      </c>
      <c r="S45" s="60">
        <f t="shared" si="21"/>
        <v>0.82895481976744212</v>
      </c>
      <c r="T45" s="61">
        <f t="shared" si="13"/>
        <v>6.5233734244186046</v>
      </c>
      <c r="V45" s="62">
        <v>16.899999999999999</v>
      </c>
      <c r="W45" s="62">
        <f t="shared" si="14"/>
        <v>2.12425</v>
      </c>
      <c r="Y45" s="16">
        <f t="shared" ref="Y45" si="77">(Y43+Y47)/2</f>
        <v>8497</v>
      </c>
      <c r="Z45" s="63">
        <f t="shared" si="27"/>
        <v>143.99196383401747</v>
      </c>
      <c r="AA45" s="82">
        <f>AB45+$C$29-$C$28</f>
        <v>9.1300000000000006E-2</v>
      </c>
      <c r="AB45" s="72">
        <f t="shared" si="32"/>
        <v>0.1013</v>
      </c>
      <c r="AE45" s="17">
        <v>27729</v>
      </c>
      <c r="AF45" s="65">
        <f t="shared" si="36"/>
        <v>2.40625</v>
      </c>
      <c r="AG45" s="66">
        <f t="shared" si="37"/>
        <v>2.7281626552602929</v>
      </c>
      <c r="AH45" s="66">
        <f>AG45-((AG$20*AR$3)+(AR$4*AG45)+(AL45)+(20%*S45))</f>
        <v>2.3218943791393616</v>
      </c>
      <c r="AI45" s="66">
        <f t="shared" si="38"/>
        <v>0.84970000000000001</v>
      </c>
      <c r="AJ45" s="66">
        <f t="shared" si="39"/>
        <v>1.7244897959183672</v>
      </c>
      <c r="AK45" s="66">
        <f t="shared" si="40"/>
        <v>1.4399196383401747</v>
      </c>
      <c r="AL45" s="24">
        <f t="shared" si="22"/>
        <v>9.1350805957031239E-2</v>
      </c>
      <c r="AM45" s="19"/>
      <c r="AN45" s="70">
        <f t="shared" si="33"/>
        <v>9</v>
      </c>
      <c r="AO45" s="70">
        <f t="shared" si="34"/>
        <v>5.1835999999999993</v>
      </c>
      <c r="BD45" s="86">
        <f t="shared" si="24"/>
        <v>1.9559814174985313E-3</v>
      </c>
      <c r="BE45" s="86">
        <f t="shared" si="25"/>
        <v>0.22470452579994249</v>
      </c>
    </row>
    <row r="46" spans="2:57" ht="19" customHeight="1">
      <c r="N46" s="17">
        <v>27820</v>
      </c>
      <c r="O46" s="68">
        <v>32.9</v>
      </c>
      <c r="P46" s="59">
        <f>(O46/O$150)*P$150</f>
        <v>6.0826744186046513</v>
      </c>
      <c r="Q46" s="60">
        <f t="shared" si="12"/>
        <v>5.9154008720930226E-2</v>
      </c>
      <c r="R46" s="75">
        <v>3.8899999999999997E-2</v>
      </c>
      <c r="S46" s="60">
        <f t="shared" si="21"/>
        <v>0.88810882848837236</v>
      </c>
      <c r="T46" s="61">
        <f t="shared" si="13"/>
        <v>6.9707832470930233</v>
      </c>
      <c r="V46" s="62">
        <v>17.3</v>
      </c>
      <c r="W46" s="62">
        <f t="shared" si="14"/>
        <v>2.12425</v>
      </c>
      <c r="Y46" s="16">
        <f t="shared" ref="Y46" si="78">Y45</f>
        <v>8497</v>
      </c>
      <c r="Z46" s="63">
        <f t="shared" si="27"/>
        <v>147.17169565375704</v>
      </c>
      <c r="AA46" s="82">
        <f>AB46+$C$29-$C$28</f>
        <v>9.1300000000000006E-2</v>
      </c>
      <c r="AB46" s="72">
        <f t="shared" si="32"/>
        <v>0.1013</v>
      </c>
      <c r="AE46" s="17">
        <v>27820</v>
      </c>
      <c r="AF46" s="65">
        <f t="shared" si="36"/>
        <v>2.5703125</v>
      </c>
      <c r="AG46" s="66">
        <f t="shared" si="37"/>
        <v>2.9152754710386977</v>
      </c>
      <c r="AH46" s="66">
        <f>AG46-((AG$20*AR$3)+(AR$4*AG46)+(AL46)+(20%*S46))</f>
        <v>2.4834422620854126</v>
      </c>
      <c r="AI46" s="66">
        <f t="shared" si="38"/>
        <v>0.84970000000000001</v>
      </c>
      <c r="AJ46" s="66">
        <f t="shared" si="39"/>
        <v>1.7653061224489794</v>
      </c>
      <c r="AK46" s="66">
        <f t="shared" si="40"/>
        <v>1.4717169565375705</v>
      </c>
      <c r="AL46" s="24">
        <f t="shared" si="22"/>
        <v>9.7600424414062484E-2</v>
      </c>
      <c r="AM46" s="19"/>
      <c r="AN46" s="73">
        <f t="shared" ref="AN46" si="79">AN45+AF46</f>
        <v>11.5703125</v>
      </c>
      <c r="AO46" s="73">
        <f t="shared" ref="AO46" si="80">AO45+AI46</f>
        <v>6.0332999999999997</v>
      </c>
      <c r="BD46" s="86">
        <f t="shared" si="24"/>
        <v>6.9575896473779597E-2</v>
      </c>
      <c r="BE46" s="86">
        <f t="shared" si="25"/>
        <v>0</v>
      </c>
    </row>
    <row r="47" spans="2:57" ht="19" customHeight="1">
      <c r="N47" s="17">
        <v>27912</v>
      </c>
      <c r="O47" s="68">
        <f t="shared" ref="O47" si="81">O46</f>
        <v>32.9</v>
      </c>
      <c r="P47" s="59">
        <f>(O47/O$150)*P$150</f>
        <v>6.0826744186046513</v>
      </c>
      <c r="Q47" s="60">
        <f t="shared" si="12"/>
        <v>5.9154008720930226E-2</v>
      </c>
      <c r="R47" s="18">
        <f t="shared" si="45"/>
        <v>3.8899999999999997E-2</v>
      </c>
      <c r="S47" s="60">
        <f t="shared" si="21"/>
        <v>0.9472628372093026</v>
      </c>
      <c r="T47" s="61">
        <f t="shared" si="13"/>
        <v>7.0299372558139535</v>
      </c>
      <c r="V47" s="62">
        <v>17.8</v>
      </c>
      <c r="W47" s="62">
        <f t="shared" si="14"/>
        <v>2.5139999999999998</v>
      </c>
      <c r="Y47" s="74">
        <v>10056</v>
      </c>
      <c r="Z47" s="63">
        <f t="shared" si="27"/>
        <v>150.4216445479517</v>
      </c>
      <c r="AA47" s="82">
        <f>AB47+$C$29-$C$28</f>
        <v>8.8800000000000004E-2</v>
      </c>
      <c r="AB47" s="72">
        <f t="shared" ref="AB47" si="82">AC47</f>
        <v>9.8799999999999999E-2</v>
      </c>
      <c r="AC47" s="64">
        <v>9.8799999999999999E-2</v>
      </c>
      <c r="AE47" s="17">
        <v>27912</v>
      </c>
      <c r="AF47" s="65">
        <f t="shared" si="36"/>
        <v>2.5703125</v>
      </c>
      <c r="AG47" s="66">
        <f t="shared" si="37"/>
        <v>2.9400144744655581</v>
      </c>
      <c r="AH47" s="66">
        <f>AG47-((AG$20*AR$3)+(AR$4*AG47)+(AL47)+(20%*S47))</f>
        <v>2.4891112851739816</v>
      </c>
      <c r="AI47" s="66">
        <f t="shared" si="38"/>
        <v>1.0056</v>
      </c>
      <c r="AJ47" s="66">
        <f t="shared" si="39"/>
        <v>1.8163265306122449</v>
      </c>
      <c r="AK47" s="66">
        <f t="shared" si="40"/>
        <v>1.5042164454795171</v>
      </c>
      <c r="AL47" s="24">
        <f t="shared" si="22"/>
        <v>0.10385004287109373</v>
      </c>
      <c r="AM47" s="19"/>
      <c r="AN47" s="70">
        <f t="shared" ref="AN47:AO47" si="83">AN46</f>
        <v>11.5703125</v>
      </c>
      <c r="AO47" s="70">
        <f t="shared" si="83"/>
        <v>6.0332999999999997</v>
      </c>
      <c r="BD47" s="86">
        <f t="shared" si="24"/>
        <v>2.2827279599439976E-3</v>
      </c>
      <c r="BE47" s="86">
        <f t="shared" si="25"/>
        <v>0.18347652112510304</v>
      </c>
    </row>
    <row r="48" spans="2:57" ht="19" customHeight="1">
      <c r="N48" s="17">
        <v>28004</v>
      </c>
      <c r="O48" s="71">
        <f>(O50+O46)/2</f>
        <v>34.950000000000003</v>
      </c>
      <c r="P48" s="59">
        <f>(O48/O$150)*P$150</f>
        <v>6.4616860465116295</v>
      </c>
      <c r="Q48" s="60">
        <f t="shared" si="12"/>
        <v>6.2839896802325587E-2</v>
      </c>
      <c r="R48" s="18">
        <f t="shared" si="30"/>
        <v>3.8899999999999997E-2</v>
      </c>
      <c r="S48" s="60">
        <f t="shared" si="21"/>
        <v>1.0101027340116282</v>
      </c>
      <c r="T48" s="61">
        <f t="shared" si="13"/>
        <v>7.4717887805232577</v>
      </c>
      <c r="V48" s="62">
        <v>18.2</v>
      </c>
      <c r="W48" s="62">
        <f t="shared" si="14"/>
        <v>2.5139999999999998</v>
      </c>
      <c r="Y48" s="16">
        <f t="shared" ref="Y48" si="84">Y47</f>
        <v>10056</v>
      </c>
      <c r="Z48" s="63">
        <f t="shared" si="27"/>
        <v>153.65523477431549</v>
      </c>
      <c r="AA48" s="82">
        <f>AB48+$C$29-$C$28</f>
        <v>8.8800000000000004E-2</v>
      </c>
      <c r="AB48" s="72">
        <f t="shared" ref="AB48" si="85">AB47</f>
        <v>9.8799999999999999E-2</v>
      </c>
      <c r="AE48" s="17">
        <v>28004</v>
      </c>
      <c r="AF48" s="65">
        <f t="shared" si="36"/>
        <v>2.7304687500000009</v>
      </c>
      <c r="AG48" s="66">
        <f t="shared" si="37"/>
        <v>3.1248027351482097</v>
      </c>
      <c r="AH48" s="66">
        <f>AG48-((AG$20*AR$3)+(AR$4*AG48)+(AL48)+(20%*S48))</f>
        <v>2.6473010036958149</v>
      </c>
      <c r="AI48" s="66">
        <f t="shared" si="38"/>
        <v>1.0056</v>
      </c>
      <c r="AJ48" s="66">
        <f t="shared" si="39"/>
        <v>1.857142857142857</v>
      </c>
      <c r="AK48" s="66">
        <f t="shared" si="40"/>
        <v>1.5365523477431549</v>
      </c>
      <c r="AL48" s="24">
        <f t="shared" si="22"/>
        <v>0.1104890752441406</v>
      </c>
      <c r="AM48" s="19"/>
      <c r="AN48" s="70">
        <f t="shared" si="33"/>
        <v>11.5703125</v>
      </c>
      <c r="AO48" s="70">
        <f t="shared" si="34"/>
        <v>6.0332999999999997</v>
      </c>
      <c r="BD48" s="86">
        <f t="shared" si="24"/>
        <v>6.3552690256987177E-2</v>
      </c>
      <c r="BE48" s="86">
        <f t="shared" si="25"/>
        <v>0</v>
      </c>
    </row>
    <row r="49" spans="14:57" ht="19" customHeight="1">
      <c r="N49" s="17">
        <v>28095</v>
      </c>
      <c r="O49" s="68">
        <f t="shared" si="26"/>
        <v>34.950000000000003</v>
      </c>
      <c r="P49" s="59">
        <f>(O49/O$150)*P$150</f>
        <v>6.4616860465116295</v>
      </c>
      <c r="Q49" s="60">
        <f t="shared" si="12"/>
        <v>6.2839896802325587E-2</v>
      </c>
      <c r="R49" s="18">
        <f t="shared" si="30"/>
        <v>3.8899999999999997E-2</v>
      </c>
      <c r="S49" s="60">
        <f t="shared" si="21"/>
        <v>1.0729426308139538</v>
      </c>
      <c r="T49" s="61">
        <f t="shared" si="13"/>
        <v>7.5346286773255837</v>
      </c>
      <c r="V49" s="62">
        <v>19.3</v>
      </c>
      <c r="W49" s="62">
        <f t="shared" si="14"/>
        <v>2.42075</v>
      </c>
      <c r="Y49" s="16">
        <f t="shared" ref="Y49" si="86">(Y47+Y51)/2</f>
        <v>9683</v>
      </c>
      <c r="Z49" s="63">
        <f t="shared" si="27"/>
        <v>156.95833697672143</v>
      </c>
      <c r="AA49" s="82">
        <f>AB49+$C$29-$C$28</f>
        <v>8.8800000000000004E-2</v>
      </c>
      <c r="AB49" s="72">
        <f t="shared" si="32"/>
        <v>9.8799999999999999E-2</v>
      </c>
      <c r="AE49" s="17">
        <v>28095</v>
      </c>
      <c r="AF49" s="65">
        <f t="shared" si="36"/>
        <v>2.7304687500000009</v>
      </c>
      <c r="AG49" s="66">
        <f t="shared" si="37"/>
        <v>3.1510832266305435</v>
      </c>
      <c r="AH49" s="66">
        <f>AG49-((AG$20*AR$3)+(AR$4*AG49)+(AL49)+(20%*S49))</f>
        <v>2.6533232637853437</v>
      </c>
      <c r="AI49" s="66">
        <f t="shared" si="38"/>
        <v>0.96830000000000005</v>
      </c>
      <c r="AJ49" s="66">
        <f t="shared" si="39"/>
        <v>1.9693877551020407</v>
      </c>
      <c r="AK49" s="66">
        <f t="shared" si="40"/>
        <v>1.5695833697672144</v>
      </c>
      <c r="AL49" s="24">
        <f t="shared" si="22"/>
        <v>0.11712810761718748</v>
      </c>
      <c r="AM49" s="19"/>
      <c r="AN49" s="70">
        <f t="shared" si="33"/>
        <v>11.5703125</v>
      </c>
      <c r="AO49" s="70">
        <f t="shared" si="34"/>
        <v>6.0332999999999997</v>
      </c>
      <c r="BD49" s="86">
        <f t="shared" si="24"/>
        <v>2.2748679055086818E-3</v>
      </c>
      <c r="BE49" s="86">
        <f t="shared" si="25"/>
        <v>-3.7092283214001598E-2</v>
      </c>
    </row>
    <row r="50" spans="14:57" ht="19" customHeight="1">
      <c r="N50" s="17">
        <v>28185</v>
      </c>
      <c r="O50" s="68">
        <v>37</v>
      </c>
      <c r="P50" s="59">
        <f>(O50/O$150)*P$150</f>
        <v>6.840697674418605</v>
      </c>
      <c r="Q50" s="60">
        <f t="shared" si="12"/>
        <v>7.268241279069769E-2</v>
      </c>
      <c r="R50" s="75">
        <v>4.2500000000000003E-2</v>
      </c>
      <c r="S50" s="60">
        <f t="shared" si="21"/>
        <v>1.1456250436046516</v>
      </c>
      <c r="T50" s="61">
        <f t="shared" si="13"/>
        <v>7.9863227180232563</v>
      </c>
      <c r="V50" s="62">
        <v>19.8</v>
      </c>
      <c r="W50" s="62">
        <f t="shared" si="14"/>
        <v>2.42075</v>
      </c>
      <c r="Y50" s="16">
        <f t="shared" ref="Y50" si="87">Y49</f>
        <v>9683</v>
      </c>
      <c r="Z50" s="63">
        <f t="shared" si="27"/>
        <v>160.33244544308943</v>
      </c>
      <c r="AA50" s="82">
        <f>AB50+$C$29-$C$28</f>
        <v>8.8800000000000004E-2</v>
      </c>
      <c r="AB50" s="72">
        <f t="shared" si="32"/>
        <v>9.8799999999999999E-2</v>
      </c>
      <c r="AE50" s="17">
        <v>28185</v>
      </c>
      <c r="AF50" s="65">
        <f t="shared" si="36"/>
        <v>2.8906250000000004</v>
      </c>
      <c r="AG50" s="66">
        <f t="shared" si="37"/>
        <v>3.3399877601073835</v>
      </c>
      <c r="AH50" s="66">
        <f>AG50-((AG$20*AR$3)+(AR$4*AG50)+(AL50)+(20%*S50))</f>
        <v>2.8131066870759076</v>
      </c>
      <c r="AI50" s="66">
        <f t="shared" si="38"/>
        <v>0.96830000000000005</v>
      </c>
      <c r="AJ50" s="66">
        <f t="shared" si="39"/>
        <v>2.0204081632653059</v>
      </c>
      <c r="AK50" s="66">
        <f t="shared" si="40"/>
        <v>1.6033244544308942</v>
      </c>
      <c r="AL50" s="24">
        <f t="shared" si="22"/>
        <v>0.12415655390624998</v>
      </c>
      <c r="AM50" s="19"/>
      <c r="AN50" s="73">
        <f t="shared" ref="AN50" si="88">AN49+AF50</f>
        <v>14.4609375</v>
      </c>
      <c r="AO50" s="73">
        <f t="shared" ref="AO50" si="89">AO49+AI50</f>
        <v>7.0015999999999998</v>
      </c>
      <c r="BD50" s="86">
        <f t="shared" si="24"/>
        <v>6.0220111688392697E-2</v>
      </c>
      <c r="BE50" s="86">
        <f t="shared" si="25"/>
        <v>0</v>
      </c>
    </row>
    <row r="51" spans="14:57" ht="19" customHeight="1">
      <c r="N51" s="17">
        <v>28277</v>
      </c>
      <c r="O51" s="68">
        <f t="shared" ref="O51" si="90">O50</f>
        <v>37</v>
      </c>
      <c r="P51" s="59">
        <f>(O51/O$150)*P$150</f>
        <v>6.840697674418605</v>
      </c>
      <c r="Q51" s="60">
        <f t="shared" si="12"/>
        <v>7.268241279069769E-2</v>
      </c>
      <c r="R51" s="18">
        <f t="shared" si="45"/>
        <v>4.2500000000000003E-2</v>
      </c>
      <c r="S51" s="60">
        <f t="shared" si="21"/>
        <v>1.2183074563953493</v>
      </c>
      <c r="T51" s="61">
        <f t="shared" si="13"/>
        <v>8.0590051308139543</v>
      </c>
      <c r="V51" s="62">
        <v>20.399999999999999</v>
      </c>
      <c r="W51" s="62">
        <f t="shared" si="14"/>
        <v>2.3275000000000001</v>
      </c>
      <c r="Y51" s="74">
        <v>9310</v>
      </c>
      <c r="Z51" s="63">
        <f t="shared" si="27"/>
        <v>163.77908658380977</v>
      </c>
      <c r="AA51" s="82">
        <f>AB51+$C$29-$C$28</f>
        <v>8.8800000000000004E-2</v>
      </c>
      <c r="AB51" s="72">
        <f t="shared" ref="AB51" si="91">AC51</f>
        <v>9.8799999999999999E-2</v>
      </c>
      <c r="AC51" s="64">
        <v>9.8799999999999999E-2</v>
      </c>
      <c r="AE51" s="17">
        <v>28277</v>
      </c>
      <c r="AF51" s="65">
        <f t="shared" si="36"/>
        <v>2.8906250000000004</v>
      </c>
      <c r="AG51" s="66">
        <f t="shared" si="37"/>
        <v>3.3703845243839079</v>
      </c>
      <c r="AH51" s="66">
        <f>AG51-((AG$20*AR$3)+(AR$4*AG51)+(AL51)+(20%*S51))</f>
        <v>2.8207226519341693</v>
      </c>
      <c r="AI51" s="66">
        <f t="shared" si="38"/>
        <v>0.93100000000000005</v>
      </c>
      <c r="AJ51" s="66">
        <f t="shared" si="39"/>
        <v>2.0816326530612241</v>
      </c>
      <c r="AK51" s="66">
        <f t="shared" si="40"/>
        <v>1.6377908658380977</v>
      </c>
      <c r="AL51" s="24">
        <f t="shared" si="22"/>
        <v>0.13118500019531248</v>
      </c>
      <c r="AM51" s="19"/>
      <c r="AN51" s="70">
        <f t="shared" ref="AN51:AO51" si="92">AN50</f>
        <v>14.4609375</v>
      </c>
      <c r="AO51" s="70">
        <f t="shared" si="92"/>
        <v>7.0015999999999998</v>
      </c>
      <c r="BD51" s="86">
        <f t="shared" si="24"/>
        <v>2.7073146188345554E-3</v>
      </c>
      <c r="BE51" s="86">
        <f t="shared" si="25"/>
        <v>-3.8521119487762046E-2</v>
      </c>
    </row>
    <row r="52" spans="14:57" ht="19" customHeight="1">
      <c r="N52" s="17">
        <v>28369</v>
      </c>
      <c r="O52" s="71">
        <f>(O54+O50)/2</f>
        <v>37.299999999999997</v>
      </c>
      <c r="P52" s="59">
        <f>(O52/O$150)*P$150</f>
        <v>6.8961627906976748</v>
      </c>
      <c r="Q52" s="60">
        <f t="shared" si="12"/>
        <v>7.3271729651162798E-2</v>
      </c>
      <c r="R52" s="18">
        <f t="shared" si="30"/>
        <v>4.2500000000000003E-2</v>
      </c>
      <c r="S52" s="60">
        <f t="shared" si="21"/>
        <v>1.291579186046512</v>
      </c>
      <c r="T52" s="61">
        <f t="shared" si="13"/>
        <v>8.1877419767441868</v>
      </c>
      <c r="V52" s="62">
        <v>20.8</v>
      </c>
      <c r="W52" s="62">
        <f t="shared" si="14"/>
        <v>2.3275000000000001</v>
      </c>
      <c r="Y52" s="16">
        <f t="shared" ref="Y52" si="93">Y51</f>
        <v>9310</v>
      </c>
      <c r="Z52" s="63">
        <f t="shared" si="27"/>
        <v>167.29981962227467</v>
      </c>
      <c r="AA52" s="82">
        <f>AB52+$C$29-$C$28</f>
        <v>8.8800000000000004E-2</v>
      </c>
      <c r="AB52" s="72">
        <f t="shared" ref="AB52" si="94">AB51</f>
        <v>9.8799999999999999E-2</v>
      </c>
      <c r="AE52" s="17">
        <v>28369</v>
      </c>
      <c r="AF52" s="65">
        <f t="shared" si="36"/>
        <v>2.9140625000000004</v>
      </c>
      <c r="AG52" s="66">
        <f t="shared" si="37"/>
        <v>3.4242240078186863</v>
      </c>
      <c r="AH52" s="66">
        <f>AG52-((AG$20*AR$3)+(AR$4*AG52)+(AL52)+(20%*S52))</f>
        <v>2.8506687764099174</v>
      </c>
      <c r="AI52" s="66">
        <f t="shared" si="38"/>
        <v>0.93100000000000005</v>
      </c>
      <c r="AJ52" s="66">
        <f t="shared" si="39"/>
        <v>2.1224489795918369</v>
      </c>
      <c r="AK52" s="66">
        <f t="shared" si="40"/>
        <v>1.6729981962227467</v>
      </c>
      <c r="AL52" s="24">
        <f t="shared" si="22"/>
        <v>0.13827043388671872</v>
      </c>
      <c r="AM52" s="19"/>
      <c r="AN52" s="70">
        <f t="shared" si="33"/>
        <v>14.4609375</v>
      </c>
      <c r="AO52" s="70">
        <f t="shared" si="34"/>
        <v>7.0015999999999998</v>
      </c>
      <c r="BD52" s="86">
        <f t="shared" si="24"/>
        <v>1.0616472504028085E-2</v>
      </c>
      <c r="BE52" s="86">
        <f t="shared" si="25"/>
        <v>0</v>
      </c>
    </row>
    <row r="53" spans="14:57" ht="19" customHeight="1">
      <c r="N53" s="17">
        <v>28460</v>
      </c>
      <c r="O53" s="68">
        <f t="shared" si="26"/>
        <v>37.299999999999997</v>
      </c>
      <c r="P53" s="59">
        <f>(O53/O$150)*P$150</f>
        <v>6.8961627906976748</v>
      </c>
      <c r="Q53" s="60">
        <f t="shared" si="12"/>
        <v>7.3271729651162798E-2</v>
      </c>
      <c r="R53" s="18">
        <f t="shared" si="30"/>
        <v>4.2500000000000003E-2</v>
      </c>
      <c r="S53" s="60">
        <f t="shared" si="21"/>
        <v>1.3648509156976747</v>
      </c>
      <c r="T53" s="61">
        <f t="shared" si="13"/>
        <v>8.2610137063953495</v>
      </c>
      <c r="V53" s="62">
        <v>21.2</v>
      </c>
      <c r="W53" s="62">
        <f t="shared" si="14"/>
        <v>2.4053749999999998</v>
      </c>
      <c r="Y53" s="16">
        <f t="shared" ref="Y53" si="95">(Y51+Y55)/2</f>
        <v>9621.5</v>
      </c>
      <c r="Z53" s="63">
        <f t="shared" si="27"/>
        <v>170.89623730025426</v>
      </c>
      <c r="AA53" s="82">
        <f>AB53+$C$29-$C$28</f>
        <v>8.8800000000000004E-2</v>
      </c>
      <c r="AB53" s="72">
        <f t="shared" si="32"/>
        <v>9.8799999999999999E-2</v>
      </c>
      <c r="AE53" s="17">
        <v>28460</v>
      </c>
      <c r="AF53" s="65">
        <f t="shared" si="36"/>
        <v>2.9140625000000004</v>
      </c>
      <c r="AG53" s="66">
        <f t="shared" si="37"/>
        <v>3.4548672323461007</v>
      </c>
      <c r="AH53" s="66">
        <f>AG53-((AG$20*AR$3)+(AR$4*AG53)+(AL53)+(20%*S53))</f>
        <v>2.8583464923345967</v>
      </c>
      <c r="AI53" s="66">
        <f t="shared" si="38"/>
        <v>0.96214999999999995</v>
      </c>
      <c r="AJ53" s="66">
        <f t="shared" si="39"/>
        <v>2.1632653061224487</v>
      </c>
      <c r="AK53" s="66">
        <f t="shared" si="40"/>
        <v>1.7089623730025425</v>
      </c>
      <c r="AL53" s="24">
        <f t="shared" si="22"/>
        <v>0.14535586757812496</v>
      </c>
      <c r="AM53" s="19"/>
      <c r="AN53" s="70">
        <f t="shared" si="33"/>
        <v>14.4609375</v>
      </c>
      <c r="AO53" s="70">
        <f t="shared" si="34"/>
        <v>7.0015999999999998</v>
      </c>
      <c r="BD53" s="86">
        <f t="shared" si="24"/>
        <v>2.6933034059286598E-3</v>
      </c>
      <c r="BE53" s="86">
        <f t="shared" si="25"/>
        <v>3.3458646616541188E-2</v>
      </c>
    </row>
    <row r="54" spans="14:57" ht="19" customHeight="1">
      <c r="N54" s="17">
        <v>28550</v>
      </c>
      <c r="O54" s="68">
        <v>37.6</v>
      </c>
      <c r="P54" s="59">
        <f>(O54/O$150)*P$150</f>
        <v>6.9516279069767446</v>
      </c>
      <c r="Q54" s="60">
        <f t="shared" si="12"/>
        <v>8.0986465116279077E-2</v>
      </c>
      <c r="R54" s="75">
        <v>4.6600000000000003E-2</v>
      </c>
      <c r="S54" s="60">
        <f t="shared" si="21"/>
        <v>1.4458373808139537</v>
      </c>
      <c r="T54" s="61">
        <f t="shared" si="13"/>
        <v>8.3974652877906983</v>
      </c>
      <c r="V54" s="62">
        <v>21.5</v>
      </c>
      <c r="W54" s="62">
        <f t="shared" si="14"/>
        <v>2.4053749999999998</v>
      </c>
      <c r="Y54" s="16">
        <f t="shared" ref="Y54" si="96">Y53</f>
        <v>9621.5</v>
      </c>
      <c r="Z54" s="63">
        <f t="shared" si="27"/>
        <v>174.56996659843574</v>
      </c>
      <c r="AA54" s="82">
        <f>AB54+$C$29-$C$28</f>
        <v>8.8800000000000004E-2</v>
      </c>
      <c r="AB54" s="72">
        <f t="shared" si="32"/>
        <v>9.8799999999999999E-2</v>
      </c>
      <c r="AE54" s="17">
        <v>28550</v>
      </c>
      <c r="AF54" s="65">
        <f t="shared" si="36"/>
        <v>2.9375000000000004</v>
      </c>
      <c r="AG54" s="66">
        <f t="shared" si="37"/>
        <v>3.5119331220927359</v>
      </c>
      <c r="AH54" s="66">
        <f>AG54-((AG$20*AR$3)+(AR$4*AG54)+(AL54)+(20%*S54))</f>
        <v>2.8897900323743606</v>
      </c>
      <c r="AI54" s="66">
        <f t="shared" si="38"/>
        <v>0.96214999999999995</v>
      </c>
      <c r="AJ54" s="66">
        <f t="shared" si="39"/>
        <v>2.193877551020408</v>
      </c>
      <c r="AK54" s="66">
        <f t="shared" si="40"/>
        <v>1.7456996659843573</v>
      </c>
      <c r="AL54" s="24">
        <f t="shared" si="22"/>
        <v>0.15249828867187495</v>
      </c>
      <c r="AM54" s="19"/>
      <c r="AN54" s="73">
        <f t="shared" ref="AN54" si="97">AN53+AF54</f>
        <v>17.3984375</v>
      </c>
      <c r="AO54" s="73">
        <f t="shared" ref="AO54" si="98">AO53+AI54</f>
        <v>7.9637500000000001</v>
      </c>
      <c r="BD54" s="86">
        <f t="shared" si="24"/>
        <v>1.100060476365905E-2</v>
      </c>
      <c r="BE54" s="86">
        <f t="shared" si="25"/>
        <v>0</v>
      </c>
    </row>
    <row r="55" spans="14:57" ht="19" customHeight="1">
      <c r="N55" s="17">
        <v>28642</v>
      </c>
      <c r="O55" s="68">
        <f t="shared" ref="O55" si="99">O54</f>
        <v>37.6</v>
      </c>
      <c r="P55" s="59">
        <f>(O55/O$150)*P$150</f>
        <v>6.9516279069767446</v>
      </c>
      <c r="Q55" s="60">
        <f t="shared" si="12"/>
        <v>8.0986465116279077E-2</v>
      </c>
      <c r="R55" s="18">
        <f t="shared" si="45"/>
        <v>4.6600000000000003E-2</v>
      </c>
      <c r="S55" s="60">
        <f t="shared" si="21"/>
        <v>1.5268238459302328</v>
      </c>
      <c r="T55" s="61">
        <f t="shared" si="13"/>
        <v>8.4784517529069774</v>
      </c>
      <c r="V55" s="62">
        <v>22</v>
      </c>
      <c r="W55" s="62">
        <f t="shared" si="14"/>
        <v>2.48325</v>
      </c>
      <c r="Y55" s="74">
        <v>9933</v>
      </c>
      <c r="Z55" s="63">
        <f t="shared" si="27"/>
        <v>178.32266947245205</v>
      </c>
      <c r="AA55" s="82">
        <f>AB55+$C$29-$C$28</f>
        <v>8.3799999999999999E-2</v>
      </c>
      <c r="AB55" s="72">
        <f t="shared" ref="AB55" si="100">AC55</f>
        <v>9.3799999999999994E-2</v>
      </c>
      <c r="AC55" s="64">
        <v>9.3799999999999994E-2</v>
      </c>
      <c r="AE55" s="17">
        <v>28642</v>
      </c>
      <c r="AF55" s="65">
        <f t="shared" si="36"/>
        <v>2.9375000000000004</v>
      </c>
      <c r="AG55" s="66">
        <f t="shared" si="37"/>
        <v>3.5458027529320075</v>
      </c>
      <c r="AH55" s="66">
        <f>AG55-((AG$20*AR$3)+(AR$4*AG55)+(AL55)+(20%*S55))</f>
        <v>2.8989651638630556</v>
      </c>
      <c r="AI55" s="66">
        <f t="shared" si="38"/>
        <v>0.99329999999999996</v>
      </c>
      <c r="AJ55" s="66">
        <f t="shared" si="39"/>
        <v>2.2448979591836733</v>
      </c>
      <c r="AK55" s="66">
        <f t="shared" si="40"/>
        <v>1.7832266947245206</v>
      </c>
      <c r="AL55" s="24">
        <f t="shared" si="22"/>
        <v>0.15964070976562494</v>
      </c>
      <c r="AM55" s="19"/>
      <c r="AN55" s="70">
        <f t="shared" ref="AN55:AO55" si="101">AN54</f>
        <v>17.3984375</v>
      </c>
      <c r="AO55" s="70">
        <f t="shared" si="101"/>
        <v>7.9637500000000001</v>
      </c>
      <c r="BD55" s="86">
        <f t="shared" si="24"/>
        <v>3.1750166572330762E-3</v>
      </c>
      <c r="BE55" s="86">
        <f t="shared" si="25"/>
        <v>3.2375409239723485E-2</v>
      </c>
    </row>
    <row r="56" spans="14:57" ht="19" hidden="1" customHeight="1">
      <c r="N56" s="17">
        <v>28734</v>
      </c>
      <c r="O56" s="71">
        <f>(O58+O54)/2</f>
        <v>37.799999999999997</v>
      </c>
      <c r="P56" s="59">
        <f>(O56/O$150)*P$150</f>
        <v>6.9886046511627899</v>
      </c>
      <c r="Q56" s="60">
        <f t="shared" si="12"/>
        <v>8.1417244186046511E-2</v>
      </c>
      <c r="R56" s="18">
        <f t="shared" si="30"/>
        <v>4.6600000000000003E-2</v>
      </c>
      <c r="S56" s="60">
        <f t="shared" si="21"/>
        <v>1.6082410901162794</v>
      </c>
      <c r="T56" s="61">
        <f t="shared" si="13"/>
        <v>8.5968457412790684</v>
      </c>
      <c r="V56" s="62">
        <v>22.4</v>
      </c>
      <c r="W56" s="62">
        <f t="shared" si="14"/>
        <v>2.48325</v>
      </c>
      <c r="Y56" s="16">
        <f t="shared" ref="Y56" si="102">Y55</f>
        <v>9933</v>
      </c>
      <c r="Z56" s="63">
        <f t="shared" si="27"/>
        <v>181.94655773298084</v>
      </c>
      <c r="AA56" s="82">
        <f>AB56+$C$29-$C$28</f>
        <v>8.3799999999999999E-2</v>
      </c>
      <c r="AB56" s="72">
        <f t="shared" ref="AB56" si="103">AB55</f>
        <v>9.3799999999999994E-2</v>
      </c>
      <c r="AE56" s="17">
        <v>28734</v>
      </c>
      <c r="AF56" s="65">
        <f t="shared" si="36"/>
        <v>2.953125</v>
      </c>
      <c r="AG56" s="66">
        <f t="shared" si="37"/>
        <v>3.5953167139870343</v>
      </c>
      <c r="AH56" s="66">
        <f>AG56-((AG$20*AR$3)+(AR$4*AG56)+(AL56)+(20%*S56))</f>
        <v>2.9230347049433596</v>
      </c>
      <c r="AI56" s="66">
        <f t="shared" si="38"/>
        <v>0.99329999999999996</v>
      </c>
      <c r="AJ56" s="66">
        <f t="shared" si="39"/>
        <v>2.2857142857142856</v>
      </c>
      <c r="AK56" s="66">
        <f t="shared" si="40"/>
        <v>1.8194655773298083</v>
      </c>
      <c r="AL56" s="24">
        <f t="shared" si="22"/>
        <v>0.16682112246093744</v>
      </c>
      <c r="AM56" s="19"/>
      <c r="AN56" s="70">
        <f t="shared" si="33"/>
        <v>17.3984375</v>
      </c>
      <c r="AO56" s="70">
        <f t="shared" si="34"/>
        <v>7.9637500000000001</v>
      </c>
      <c r="BD56" s="86">
        <f t="shared" si="24"/>
        <v>8.3028045249877724E-3</v>
      </c>
      <c r="BE56" s="86">
        <f t="shared" si="25"/>
        <v>0</v>
      </c>
    </row>
    <row r="57" spans="14:57" ht="19" hidden="1" customHeight="1">
      <c r="N57" s="17">
        <v>28825</v>
      </c>
      <c r="O57" s="68">
        <f t="shared" si="26"/>
        <v>37.799999999999997</v>
      </c>
      <c r="P57" s="59">
        <f>(O57/O$150)*P$150</f>
        <v>6.9886046511627899</v>
      </c>
      <c r="Q57" s="60">
        <f t="shared" si="12"/>
        <v>8.1417244186046511E-2</v>
      </c>
      <c r="R57" s="18">
        <f t="shared" si="30"/>
        <v>4.6600000000000003E-2</v>
      </c>
      <c r="S57" s="60">
        <f t="shared" si="21"/>
        <v>1.6896583343023259</v>
      </c>
      <c r="T57" s="61">
        <f t="shared" si="13"/>
        <v>8.6782629854651159</v>
      </c>
      <c r="V57" s="62">
        <v>22.8</v>
      </c>
      <c r="W57" s="62">
        <f t="shared" si="14"/>
        <v>2.804875</v>
      </c>
      <c r="Y57" s="16">
        <f t="shared" ref="Y57" si="104">(Y55+Y59)/2</f>
        <v>11219.5</v>
      </c>
      <c r="Z57" s="63">
        <f t="shared" si="27"/>
        <v>185.64409095499235</v>
      </c>
      <c r="AA57" s="82">
        <f>AB57+$C$29-$C$28</f>
        <v>8.3799999999999999E-2</v>
      </c>
      <c r="AB57" s="72">
        <f t="shared" si="32"/>
        <v>9.3799999999999994E-2</v>
      </c>
      <c r="AE57" s="17">
        <v>28825</v>
      </c>
      <c r="AF57" s="65">
        <f t="shared" si="36"/>
        <v>2.953125</v>
      </c>
      <c r="AG57" s="66">
        <f t="shared" si="37"/>
        <v>3.6293665024371538</v>
      </c>
      <c r="AH57" s="66">
        <f>AG57-((AG$20*AR$3)+(AR$4*AG57)+(AL57)+(20%*S57))</f>
        <v>2.9322586403229525</v>
      </c>
      <c r="AI57" s="66">
        <f t="shared" si="38"/>
        <v>1.12195</v>
      </c>
      <c r="AJ57" s="66">
        <f t="shared" si="39"/>
        <v>2.3265306122448979</v>
      </c>
      <c r="AK57" s="66">
        <f t="shared" si="40"/>
        <v>1.8564409095499235</v>
      </c>
      <c r="AL57" s="24">
        <f t="shared" si="22"/>
        <v>0.17400153515624994</v>
      </c>
      <c r="AM57" s="19"/>
      <c r="AN57" s="70">
        <f t="shared" si="33"/>
        <v>17.3984375</v>
      </c>
      <c r="AO57" s="70">
        <f t="shared" si="34"/>
        <v>7.9637500000000001</v>
      </c>
      <c r="BD57" s="86">
        <f t="shared" si="24"/>
        <v>3.15560241689683E-3</v>
      </c>
      <c r="BE57" s="86">
        <f t="shared" si="25"/>
        <v>0.12951776905265278</v>
      </c>
    </row>
    <row r="58" spans="14:57" ht="19" hidden="1" customHeight="1">
      <c r="N58" s="17">
        <v>28915</v>
      </c>
      <c r="O58" s="68">
        <v>38</v>
      </c>
      <c r="P58" s="59">
        <f>(O58/O$150)*P$150</f>
        <v>7.025581395348838</v>
      </c>
      <c r="Q58" s="60">
        <f t="shared" si="12"/>
        <v>8.3955697674418614E-2</v>
      </c>
      <c r="R58" s="75">
        <v>4.7800000000000002E-2</v>
      </c>
      <c r="S58" s="60">
        <f t="shared" si="21"/>
        <v>1.7736140319767446</v>
      </c>
      <c r="T58" s="61">
        <f t="shared" si="13"/>
        <v>8.7991954273255821</v>
      </c>
      <c r="V58" s="62">
        <v>23.2</v>
      </c>
      <c r="W58" s="62">
        <f t="shared" si="14"/>
        <v>2.804875</v>
      </c>
      <c r="Y58" s="16">
        <f t="shared" ref="Y58" si="105">Y57</f>
        <v>11219.5</v>
      </c>
      <c r="Z58" s="63">
        <f t="shared" si="27"/>
        <v>189.41676575757691</v>
      </c>
      <c r="AA58" s="82">
        <f>AB58+$C$29-$C$28</f>
        <v>8.3799999999999999E-2</v>
      </c>
      <c r="AB58" s="72">
        <f t="shared" si="32"/>
        <v>9.3799999999999994E-2</v>
      </c>
      <c r="AE58" s="17">
        <v>28915</v>
      </c>
      <c r="AF58" s="65">
        <f t="shared" si="36"/>
        <v>2.9687500000000004</v>
      </c>
      <c r="AG58" s="66">
        <f t="shared" si="37"/>
        <v>3.6799420789415089</v>
      </c>
      <c r="AH58" s="66">
        <f>AG58-((AG$20*AR$3)+(AR$4*AG58)+(AL58)+(20%*S58))</f>
        <v>2.9568016499353744</v>
      </c>
      <c r="AI58" s="66">
        <f t="shared" si="38"/>
        <v>1.12195</v>
      </c>
      <c r="AJ58" s="66">
        <f t="shared" si="39"/>
        <v>2.3673469387755102</v>
      </c>
      <c r="AK58" s="66">
        <f t="shared" si="40"/>
        <v>1.8941676575757691</v>
      </c>
      <c r="AL58" s="24">
        <f t="shared" si="22"/>
        <v>0.18121993945312495</v>
      </c>
      <c r="AM58" s="19"/>
      <c r="AN58" s="73">
        <f t="shared" ref="AN58" si="106">AN57+AF58</f>
        <v>20.3671875</v>
      </c>
      <c r="AO58" s="73">
        <f t="shared" ref="AO58" si="107">AO57+AI58</f>
        <v>9.0856999999999992</v>
      </c>
      <c r="BD58" s="86">
        <f t="shared" si="24"/>
        <v>8.3700016345484851E-3</v>
      </c>
      <c r="BE58" s="86">
        <f t="shared" si="25"/>
        <v>0</v>
      </c>
    </row>
    <row r="59" spans="14:57" ht="19" hidden="1" customHeight="1">
      <c r="N59" s="17">
        <v>29007</v>
      </c>
      <c r="O59" s="68">
        <f t="shared" ref="O59" si="108">O58</f>
        <v>38</v>
      </c>
      <c r="P59" s="59">
        <f>(O59/O$150)*P$150</f>
        <v>7.025581395348838</v>
      </c>
      <c r="Q59" s="60">
        <f t="shared" si="12"/>
        <v>8.3955697674418614E-2</v>
      </c>
      <c r="R59" s="18">
        <f t="shared" si="45"/>
        <v>4.7800000000000002E-2</v>
      </c>
      <c r="S59" s="60">
        <f t="shared" si="21"/>
        <v>1.8575697296511633</v>
      </c>
      <c r="T59" s="61">
        <f t="shared" si="13"/>
        <v>8.8831511250000013</v>
      </c>
      <c r="V59" s="62">
        <v>23.8</v>
      </c>
      <c r="W59" s="62">
        <f t="shared" si="14"/>
        <v>3.1265000000000001</v>
      </c>
      <c r="Y59" s="74">
        <v>12506</v>
      </c>
      <c r="Z59" s="63">
        <f t="shared" si="27"/>
        <v>193.26610917424358</v>
      </c>
      <c r="AA59" s="82">
        <f>AB59+$C$29-$C$28</f>
        <v>8.1300000000000011E-2</v>
      </c>
      <c r="AB59" s="72">
        <f t="shared" ref="AB59" si="109">AC59</f>
        <v>9.1300000000000006E-2</v>
      </c>
      <c r="AC59" s="64">
        <v>9.1300000000000006E-2</v>
      </c>
      <c r="AE59" s="17">
        <v>29007</v>
      </c>
      <c r="AF59" s="65">
        <f t="shared" si="36"/>
        <v>2.9687500000000004</v>
      </c>
      <c r="AG59" s="66">
        <f t="shared" si="37"/>
        <v>3.7150534828409549</v>
      </c>
      <c r="AH59" s="66">
        <f>AG59-((AG$20*AR$3)+(AR$4*AG59)+(AL59)+(20%*S59))</f>
        <v>2.9664990538470839</v>
      </c>
      <c r="AI59" s="66">
        <f t="shared" si="38"/>
        <v>1.2505999999999999</v>
      </c>
      <c r="AJ59" s="66">
        <f t="shared" si="39"/>
        <v>2.4285714285714284</v>
      </c>
      <c r="AK59" s="66">
        <f t="shared" si="40"/>
        <v>1.9326610917424358</v>
      </c>
      <c r="AL59" s="24">
        <f t="shared" si="22"/>
        <v>0.18843834374999996</v>
      </c>
      <c r="AM59" s="19"/>
      <c r="AN59" s="70">
        <f t="shared" ref="AN59:AO59" si="110">AN58</f>
        <v>20.3671875</v>
      </c>
      <c r="AO59" s="70">
        <f t="shared" si="110"/>
        <v>9.0856999999999992</v>
      </c>
      <c r="BD59" s="86">
        <f t="shared" si="24"/>
        <v>3.2796937569083973E-3</v>
      </c>
      <c r="BE59" s="86">
        <f t="shared" si="25"/>
        <v>0.11466642898524881</v>
      </c>
    </row>
    <row r="60" spans="14:57" ht="19" hidden="1" customHeight="1">
      <c r="N60" s="17">
        <v>29099</v>
      </c>
      <c r="O60" s="71">
        <f>(O62+O58)/2</f>
        <v>38.75</v>
      </c>
      <c r="P60" s="59">
        <f>(O60/O$150)*P$150</f>
        <v>7.1642441860465116</v>
      </c>
      <c r="Q60" s="60">
        <f t="shared" si="12"/>
        <v>8.5612718023255818E-2</v>
      </c>
      <c r="R60" s="18">
        <f t="shared" si="30"/>
        <v>4.7800000000000002E-2</v>
      </c>
      <c r="S60" s="60">
        <f t="shared" si="21"/>
        <v>1.9431824476744191</v>
      </c>
      <c r="T60" s="61">
        <f t="shared" si="13"/>
        <v>9.1074266337209302</v>
      </c>
      <c r="V60" s="62">
        <v>24.5</v>
      </c>
      <c r="W60" s="62">
        <f t="shared" si="14"/>
        <v>3.1265000000000001</v>
      </c>
      <c r="Y60" s="16">
        <f t="shared" ref="Y60" si="111">Y59</f>
        <v>12506</v>
      </c>
      <c r="Z60" s="63">
        <f t="shared" si="27"/>
        <v>197.07986417363045</v>
      </c>
      <c r="AA60" s="82">
        <f>AB60+$C$29-$C$28</f>
        <v>8.1300000000000011E-2</v>
      </c>
      <c r="AB60" s="72">
        <f t="shared" ref="AB60" si="112">AB59</f>
        <v>9.1300000000000006E-2</v>
      </c>
      <c r="AE60" s="17">
        <v>29099</v>
      </c>
      <c r="AF60" s="65">
        <f t="shared" si="36"/>
        <v>3.02734375</v>
      </c>
      <c r="AG60" s="66">
        <f t="shared" si="37"/>
        <v>3.8088485222436659</v>
      </c>
      <c r="AH60" s="66">
        <f>AG60-((AG$20*AR$3)+(AR$4*AG60)+(AL60)+(20%*S60))</f>
        <v>3.0320588752663014</v>
      </c>
      <c r="AI60" s="66">
        <f t="shared" si="38"/>
        <v>1.2505999999999999</v>
      </c>
      <c r="AJ60" s="66">
        <f t="shared" si="39"/>
        <v>2.5</v>
      </c>
      <c r="AK60" s="66">
        <f t="shared" si="40"/>
        <v>1.9707986417363046</v>
      </c>
      <c r="AL60" s="24">
        <f t="shared" si="22"/>
        <v>0.19579921655273433</v>
      </c>
      <c r="AM60" s="19"/>
      <c r="AN60" s="70">
        <f t="shared" si="33"/>
        <v>20.3671875</v>
      </c>
      <c r="AO60" s="70">
        <f t="shared" si="34"/>
        <v>9.0856999999999992</v>
      </c>
      <c r="BD60" s="86">
        <f t="shared" si="24"/>
        <v>2.2100064833729283E-2</v>
      </c>
      <c r="BE60" s="86">
        <f t="shared" si="25"/>
        <v>0</v>
      </c>
    </row>
    <row r="61" spans="14:57" ht="19" hidden="1" customHeight="1">
      <c r="N61" s="17">
        <v>29190</v>
      </c>
      <c r="O61" s="68">
        <f t="shared" si="26"/>
        <v>38.75</v>
      </c>
      <c r="P61" s="59">
        <f>(O61/O$150)*P$150</f>
        <v>7.1642441860465116</v>
      </c>
      <c r="Q61" s="60">
        <f t="shared" si="12"/>
        <v>8.5612718023255818E-2</v>
      </c>
      <c r="R61" s="18">
        <f t="shared" si="30"/>
        <v>4.7800000000000002E-2</v>
      </c>
      <c r="S61" s="60">
        <f t="shared" si="21"/>
        <v>2.0287951656976748</v>
      </c>
      <c r="T61" s="61">
        <f t="shared" si="13"/>
        <v>9.1930393517441864</v>
      </c>
      <c r="V61" s="62">
        <v>25.1</v>
      </c>
      <c r="W61" s="62">
        <f t="shared" si="14"/>
        <v>4.2887500000000003</v>
      </c>
      <c r="Y61" s="16">
        <f t="shared" ref="Y61" si="113">(Y59+Y63)/2</f>
        <v>17155</v>
      </c>
      <c r="Z61" s="63">
        <f t="shared" si="27"/>
        <v>200.96887668845804</v>
      </c>
      <c r="AA61" s="82">
        <f>AB61+$C$29-$C$28</f>
        <v>8.1300000000000011E-2</v>
      </c>
      <c r="AB61" s="72">
        <f t="shared" si="32"/>
        <v>9.1300000000000006E-2</v>
      </c>
      <c r="AE61" s="17">
        <v>29190</v>
      </c>
      <c r="AF61" s="65">
        <f t="shared" si="36"/>
        <v>3.02734375</v>
      </c>
      <c r="AG61" s="66">
        <f t="shared" si="37"/>
        <v>3.8446529143779693</v>
      </c>
      <c r="AH61" s="66">
        <f>AG61-((AG$20*AR$3)+(AR$4*AG61)+(AL61)+(20%*S61))</f>
        <v>3.0419476753078469</v>
      </c>
      <c r="AI61" s="66">
        <f t="shared" si="38"/>
        <v>1.7155</v>
      </c>
      <c r="AJ61" s="66">
        <f t="shared" si="39"/>
        <v>2.5612244897959182</v>
      </c>
      <c r="AK61" s="66">
        <f t="shared" si="40"/>
        <v>2.0096887668845804</v>
      </c>
      <c r="AL61" s="24">
        <f t="shared" si="22"/>
        <v>0.2031600893554687</v>
      </c>
      <c r="AM61" s="19"/>
      <c r="AN61" s="70">
        <f t="shared" si="33"/>
        <v>20.3671875</v>
      </c>
      <c r="AO61" s="70">
        <f t="shared" si="34"/>
        <v>9.0856999999999992</v>
      </c>
      <c r="BD61" s="86">
        <f t="shared" si="24"/>
        <v>3.2614142562377157E-3</v>
      </c>
      <c r="BE61" s="86">
        <f t="shared" si="25"/>
        <v>0.37174156404925651</v>
      </c>
    </row>
    <row r="62" spans="14:57" ht="19" hidden="1" customHeight="1">
      <c r="N62" s="17">
        <v>29281</v>
      </c>
      <c r="O62" s="68">
        <v>39.5</v>
      </c>
      <c r="P62" s="59">
        <f>(O62/O$150)*P$150</f>
        <v>7.3029069767441861</v>
      </c>
      <c r="Q62" s="60">
        <f t="shared" si="12"/>
        <v>8.5991729651162793E-2</v>
      </c>
      <c r="R62" s="75">
        <v>4.7100000000000003E-2</v>
      </c>
      <c r="S62" s="60">
        <f t="shared" si="21"/>
        <v>2.1147868953488378</v>
      </c>
      <c r="T62" s="61">
        <f t="shared" si="13"/>
        <v>9.4176938720930234</v>
      </c>
      <c r="V62" s="62">
        <v>25.5</v>
      </c>
      <c r="W62" s="62">
        <f t="shared" si="14"/>
        <v>4.2887500000000003</v>
      </c>
      <c r="Y62" s="16">
        <f t="shared" ref="Y62" si="114">Y61</f>
        <v>17155</v>
      </c>
      <c r="Z62" s="63">
        <f t="shared" si="27"/>
        <v>204.93463178885571</v>
      </c>
      <c r="AA62" s="82">
        <f>AB62+$C$29-$C$28</f>
        <v>8.1300000000000011E-2</v>
      </c>
      <c r="AB62" s="72">
        <f t="shared" si="32"/>
        <v>9.1300000000000006E-2</v>
      </c>
      <c r="AE62" s="17">
        <v>29281</v>
      </c>
      <c r="AF62" s="65">
        <f t="shared" si="36"/>
        <v>3.0859375</v>
      </c>
      <c r="AG62" s="66">
        <f t="shared" si="37"/>
        <v>3.9386064615498815</v>
      </c>
      <c r="AH62" s="66">
        <f>AG62-((AG$20*AR$3)+(AR$4*AG62)+(AL62)+(20%*S62))</f>
        <v>3.1074413933540561</v>
      </c>
      <c r="AI62" s="66">
        <f t="shared" si="38"/>
        <v>1.7155</v>
      </c>
      <c r="AJ62" s="66">
        <f t="shared" si="39"/>
        <v>2.6020408163265305</v>
      </c>
      <c r="AK62" s="66">
        <f t="shared" si="40"/>
        <v>2.0493463178885571</v>
      </c>
      <c r="AL62" s="24">
        <f t="shared" si="22"/>
        <v>0.21066343066406246</v>
      </c>
      <c r="AM62" s="19"/>
      <c r="AN62" s="73">
        <f t="shared" ref="AN62" si="115">AN61+AF62</f>
        <v>23.453125</v>
      </c>
      <c r="AO62" s="73">
        <f t="shared" ref="AO62" si="116">AO61+AI62</f>
        <v>10.8012</v>
      </c>
      <c r="BD62" s="86">
        <f t="shared" si="24"/>
        <v>2.1530192178463858E-2</v>
      </c>
      <c r="BE62" s="86">
        <f t="shared" si="25"/>
        <v>0</v>
      </c>
    </row>
    <row r="63" spans="14:57" ht="19" hidden="1" customHeight="1">
      <c r="N63" s="17">
        <v>29373</v>
      </c>
      <c r="O63" s="68">
        <f t="shared" ref="O63" si="117">O62</f>
        <v>39.5</v>
      </c>
      <c r="P63" s="59">
        <f>(O63/O$150)*P$150</f>
        <v>7.3029069767441861</v>
      </c>
      <c r="Q63" s="60">
        <f t="shared" si="12"/>
        <v>8.5991729651162793E-2</v>
      </c>
      <c r="R63" s="18">
        <f t="shared" si="45"/>
        <v>4.7100000000000003E-2</v>
      </c>
      <c r="S63" s="60">
        <f t="shared" si="21"/>
        <v>2.2007786250000008</v>
      </c>
      <c r="T63" s="61">
        <f t="shared" si="13"/>
        <v>9.5036856017441877</v>
      </c>
      <c r="V63" s="62">
        <v>26.3</v>
      </c>
      <c r="W63" s="62">
        <f t="shared" si="14"/>
        <v>5.4509999999999996</v>
      </c>
      <c r="Y63" s="74">
        <v>21804</v>
      </c>
      <c r="Z63" s="63">
        <f t="shared" si="27"/>
        <v>208.97864385010962</v>
      </c>
      <c r="AA63" s="82">
        <f>AB63+$C$29-$C$28</f>
        <v>8.8800000000000004E-2</v>
      </c>
      <c r="AB63" s="72">
        <f t="shared" ref="AB63" si="118">AC63</f>
        <v>9.8799999999999999E-2</v>
      </c>
      <c r="AC63" s="64">
        <v>9.8799999999999999E-2</v>
      </c>
      <c r="AE63" s="17">
        <v>29373</v>
      </c>
      <c r="AF63" s="65">
        <f t="shared" si="36"/>
        <v>3.0859375</v>
      </c>
      <c r="AG63" s="66">
        <f t="shared" si="37"/>
        <v>3.9745693614533857</v>
      </c>
      <c r="AH63" s="66">
        <f>AG63-((AG$20*AR$3)+(AR$4*AG63)+(AL63)+(20%*S63))</f>
        <v>3.1172640900225939</v>
      </c>
      <c r="AI63" s="66">
        <f t="shared" si="38"/>
        <v>2.1804000000000001</v>
      </c>
      <c r="AJ63" s="66">
        <f t="shared" si="39"/>
        <v>2.6836734693877551</v>
      </c>
      <c r="AK63" s="66">
        <f t="shared" si="40"/>
        <v>2.089786438501096</v>
      </c>
      <c r="AL63" s="24">
        <f t="shared" si="22"/>
        <v>0.21816677197265621</v>
      </c>
      <c r="AM63" s="19"/>
      <c r="AN63" s="70">
        <f t="shared" ref="AN63:AO63" si="119">AN62</f>
        <v>23.453125</v>
      </c>
      <c r="AO63" s="70">
        <f t="shared" si="119"/>
        <v>10.8012</v>
      </c>
      <c r="BD63" s="86">
        <f t="shared" si="24"/>
        <v>3.1610239502974924E-3</v>
      </c>
      <c r="BE63" s="86">
        <f t="shared" si="25"/>
        <v>0.27099970853978439</v>
      </c>
    </row>
    <row r="64" spans="14:57" ht="19" hidden="1" customHeight="1">
      <c r="N64" s="17">
        <v>29465</v>
      </c>
      <c r="O64" s="71">
        <f>(O66+O62)/2</f>
        <v>41.75</v>
      </c>
      <c r="P64" s="59">
        <f>(O64/O$150)*P$150</f>
        <v>7.7188953488372105</v>
      </c>
      <c r="Q64" s="60">
        <f t="shared" si="12"/>
        <v>9.0889992732558156E-2</v>
      </c>
      <c r="R64" s="18">
        <f t="shared" si="30"/>
        <v>4.7100000000000003E-2</v>
      </c>
      <c r="S64" s="60">
        <f t="shared" si="21"/>
        <v>2.2916686177325589</v>
      </c>
      <c r="T64" s="61">
        <f t="shared" si="13"/>
        <v>10.010563966569769</v>
      </c>
      <c r="V64" s="62">
        <v>26.8</v>
      </c>
      <c r="W64" s="62">
        <f t="shared" si="14"/>
        <v>5.4509999999999996</v>
      </c>
      <c r="Y64" s="16">
        <f t="shared" ref="Y64" si="120">Y63</f>
        <v>21804</v>
      </c>
      <c r="Z64" s="63">
        <f t="shared" si="27"/>
        <v>213.47102459959052</v>
      </c>
      <c r="AA64" s="82">
        <f>AB64+$C$29-$C$28</f>
        <v>8.8800000000000004E-2</v>
      </c>
      <c r="AB64" s="72">
        <f t="shared" ref="AB64" si="121">AB63</f>
        <v>9.8799999999999999E-2</v>
      </c>
      <c r="AE64" s="17">
        <v>29465</v>
      </c>
      <c r="AF64" s="65">
        <f t="shared" si="36"/>
        <v>3.2617187500000004</v>
      </c>
      <c r="AG64" s="66">
        <f t="shared" si="37"/>
        <v>4.1865527227768711</v>
      </c>
      <c r="AH64" s="66">
        <f>AG64-((AG$20*AR$3)+(AR$4*AG64)+(AL64)+(20%*S64))</f>
        <v>3.2946593715204564</v>
      </c>
      <c r="AI64" s="66">
        <f t="shared" si="38"/>
        <v>2.1804000000000001</v>
      </c>
      <c r="AJ64" s="66">
        <f t="shared" si="39"/>
        <v>2.7346938775510203</v>
      </c>
      <c r="AK64" s="66">
        <f t="shared" si="40"/>
        <v>2.1347102459959051</v>
      </c>
      <c r="AL64" s="24">
        <f t="shared" si="22"/>
        <v>0.22609751879882808</v>
      </c>
      <c r="AM64" s="19"/>
      <c r="AN64" s="70">
        <f t="shared" si="33"/>
        <v>23.453125</v>
      </c>
      <c r="AO64" s="70">
        <f t="shared" si="34"/>
        <v>10.8012</v>
      </c>
      <c r="BD64" s="86">
        <f t="shared" si="24"/>
        <v>5.6907363757100482E-2</v>
      </c>
      <c r="BE64" s="86">
        <f t="shared" si="25"/>
        <v>0</v>
      </c>
    </row>
    <row r="65" spans="14:57" ht="19" hidden="1" customHeight="1">
      <c r="N65" s="17">
        <v>29556</v>
      </c>
      <c r="O65" s="68">
        <f t="shared" si="26"/>
        <v>41.75</v>
      </c>
      <c r="P65" s="59">
        <f>(O65/O$150)*P$150</f>
        <v>7.7188953488372105</v>
      </c>
      <c r="Q65" s="60">
        <f t="shared" si="12"/>
        <v>9.0889992732558156E-2</v>
      </c>
      <c r="R65" s="18">
        <f t="shared" si="30"/>
        <v>4.7100000000000003E-2</v>
      </c>
      <c r="S65" s="60">
        <f t="shared" si="21"/>
        <v>2.3825586104651171</v>
      </c>
      <c r="T65" s="61">
        <f t="shared" si="13"/>
        <v>10.101453959302328</v>
      </c>
      <c r="V65" s="62">
        <v>27.4</v>
      </c>
      <c r="W65" s="62">
        <f t="shared" si="14"/>
        <v>5.8811249999999999</v>
      </c>
      <c r="Y65" s="16">
        <f t="shared" ref="Y65" si="122">(Y63+Y67)/2</f>
        <v>23524.5</v>
      </c>
      <c r="Z65" s="63">
        <f t="shared" si="27"/>
        <v>218.0599773452644</v>
      </c>
      <c r="AA65" s="82">
        <f>AB65+$C$29-$C$28</f>
        <v>8.8800000000000004E-2</v>
      </c>
      <c r="AB65" s="72">
        <f t="shared" si="32"/>
        <v>9.8799999999999999E-2</v>
      </c>
      <c r="AE65" s="17">
        <v>29556</v>
      </c>
      <c r="AF65" s="65">
        <f t="shared" si="36"/>
        <v>3.2617187500000004</v>
      </c>
      <c r="AG65" s="66">
        <f t="shared" si="37"/>
        <v>4.2245641422951312</v>
      </c>
      <c r="AH65" s="66">
        <f>AG65-((AG$20*AR$3)+(AR$4*AG65)+(AL65)+(20%*S65))</f>
        <v>3.3050415888853024</v>
      </c>
      <c r="AI65" s="66">
        <f t="shared" si="38"/>
        <v>2.3524500000000002</v>
      </c>
      <c r="AJ65" s="66">
        <f t="shared" si="39"/>
        <v>2.7959183673469385</v>
      </c>
      <c r="AK65" s="66">
        <f t="shared" si="40"/>
        <v>2.1805997734526441</v>
      </c>
      <c r="AL65" s="24">
        <f t="shared" si="22"/>
        <v>0.23402826562499995</v>
      </c>
      <c r="AM65" s="19"/>
      <c r="AN65" s="70">
        <f t="shared" si="33"/>
        <v>23.453125</v>
      </c>
      <c r="AO65" s="70">
        <f t="shared" si="34"/>
        <v>10.8012</v>
      </c>
      <c r="BD65" s="86">
        <f t="shared" si="24"/>
        <v>3.1512263314961153E-3</v>
      </c>
      <c r="BE65" s="86">
        <f t="shared" si="25"/>
        <v>7.8907539900935575E-2</v>
      </c>
    </row>
    <row r="66" spans="14:57" ht="19" hidden="1" customHeight="1">
      <c r="N66" s="17">
        <v>29646</v>
      </c>
      <c r="O66" s="68">
        <v>44</v>
      </c>
      <c r="P66" s="59">
        <f>(O66/O$150)*P$150</f>
        <v>8.1348837209302332</v>
      </c>
      <c r="Q66" s="60">
        <f t="shared" si="12"/>
        <v>9.2941046511627906E-2</v>
      </c>
      <c r="R66" s="75">
        <v>4.5699999999999998E-2</v>
      </c>
      <c r="S66" s="60">
        <f t="shared" si="21"/>
        <v>2.4754996569767451</v>
      </c>
      <c r="T66" s="61">
        <f t="shared" si="13"/>
        <v>10.610383377906977</v>
      </c>
      <c r="V66" s="62">
        <v>28</v>
      </c>
      <c r="W66" s="62">
        <f t="shared" si="14"/>
        <v>5.8811249999999999</v>
      </c>
      <c r="Y66" s="16">
        <f t="shared" ref="Y66" si="123">Y65</f>
        <v>23524.5</v>
      </c>
      <c r="Z66" s="63">
        <f t="shared" si="27"/>
        <v>222.74757808001092</v>
      </c>
      <c r="AA66" s="82">
        <f>AB66+$C$29-$C$28</f>
        <v>8.8800000000000004E-2</v>
      </c>
      <c r="AB66" s="72">
        <f t="shared" si="32"/>
        <v>9.8799999999999999E-2</v>
      </c>
      <c r="AE66" s="17">
        <v>29646</v>
      </c>
      <c r="AF66" s="65">
        <f t="shared" si="36"/>
        <v>3.4375000000000004</v>
      </c>
      <c r="AG66" s="66">
        <f t="shared" si="37"/>
        <v>4.4374052819427954</v>
      </c>
      <c r="AH66" s="66">
        <f>AG66-((AG$20*AR$3)+(AR$4*AG66)+(AL66)+(20%*S66))</f>
        <v>3.4824227213009848</v>
      </c>
      <c r="AI66" s="66">
        <f t="shared" si="38"/>
        <v>2.3524500000000002</v>
      </c>
      <c r="AJ66" s="66">
        <f t="shared" si="39"/>
        <v>2.8571428571428568</v>
      </c>
      <c r="AK66" s="66">
        <f t="shared" si="40"/>
        <v>2.2274757808001091</v>
      </c>
      <c r="AL66" s="24">
        <f t="shared" si="22"/>
        <v>0.24238641796874996</v>
      </c>
      <c r="AM66" s="19"/>
      <c r="AN66" s="73">
        <f t="shared" ref="AN66" si="124">AN65+AF66</f>
        <v>26.890625</v>
      </c>
      <c r="AO66" s="73">
        <f t="shared" ref="AO66" si="125">AO65+AI66</f>
        <v>13.153649999999999</v>
      </c>
      <c r="BD66" s="86">
        <f t="shared" si="24"/>
        <v>5.3669863947312102E-2</v>
      </c>
      <c r="BE66" s="86">
        <f t="shared" si="25"/>
        <v>0</v>
      </c>
    </row>
    <row r="67" spans="14:57" ht="19" hidden="1" customHeight="1">
      <c r="N67" s="17">
        <v>29738</v>
      </c>
      <c r="O67" s="68">
        <f t="shared" ref="O67" si="126">O66</f>
        <v>44</v>
      </c>
      <c r="P67" s="59">
        <f>(O67/O$150)*P$150</f>
        <v>8.1348837209302332</v>
      </c>
      <c r="Q67" s="60">
        <f t="shared" si="12"/>
        <v>9.2941046511627906E-2</v>
      </c>
      <c r="R67" s="18">
        <f t="shared" si="45"/>
        <v>4.5699999999999998E-2</v>
      </c>
      <c r="S67" s="60">
        <f t="shared" si="21"/>
        <v>2.5684407034883732</v>
      </c>
      <c r="T67" s="61">
        <f t="shared" si="13"/>
        <v>10.703324424418607</v>
      </c>
      <c r="V67" s="62">
        <v>28.6</v>
      </c>
      <c r="W67" s="62">
        <f t="shared" si="14"/>
        <v>6.3112500000000002</v>
      </c>
      <c r="Y67" s="74">
        <v>25245</v>
      </c>
      <c r="Z67" s="63">
        <f t="shared" si="27"/>
        <v>227.53594742399932</v>
      </c>
      <c r="AA67" s="82">
        <f>AB67+$C$29-$C$28</f>
        <v>0.10500000000000001</v>
      </c>
      <c r="AB67" s="72">
        <f t="shared" ref="AB67" si="127">AC67</f>
        <v>0.115</v>
      </c>
      <c r="AC67" s="64">
        <v>0.115</v>
      </c>
      <c r="AE67" s="17">
        <v>29738</v>
      </c>
      <c r="AF67" s="65">
        <f t="shared" si="36"/>
        <v>3.4375000000000004</v>
      </c>
      <c r="AG67" s="66">
        <f t="shared" si="37"/>
        <v>4.4762744797852347</v>
      </c>
      <c r="AH67" s="66">
        <f>AG67-((AG$20*AR$3)+(AR$4*AG67)+(AL67)+(20%*S67))</f>
        <v>3.4927907895836507</v>
      </c>
      <c r="AI67" s="66">
        <f t="shared" si="38"/>
        <v>2.5245000000000002</v>
      </c>
      <c r="AJ67" s="66">
        <f t="shared" si="39"/>
        <v>2.9183673469387754</v>
      </c>
      <c r="AK67" s="66">
        <f t="shared" si="40"/>
        <v>2.275359474239993</v>
      </c>
      <c r="AL67" s="24">
        <f t="shared" si="22"/>
        <v>0.25074457031249997</v>
      </c>
      <c r="AM67" s="19"/>
      <c r="AN67" s="70">
        <f t="shared" ref="AN67:AO67" si="128">AN66</f>
        <v>26.890625</v>
      </c>
      <c r="AO67" s="70">
        <f t="shared" si="128"/>
        <v>13.153649999999999</v>
      </c>
      <c r="BD67" s="86">
        <f t="shared" si="24"/>
        <v>2.9772572465851521E-3</v>
      </c>
      <c r="BE67" s="86">
        <f t="shared" si="25"/>
        <v>7.313651724797543E-2</v>
      </c>
    </row>
    <row r="68" spans="14:57" ht="19" hidden="1" customHeight="1">
      <c r="N68" s="17">
        <v>29830</v>
      </c>
      <c r="O68" s="71">
        <f>(O70+O66)/2</f>
        <v>45.375</v>
      </c>
      <c r="P68" s="59">
        <f>(O68/O$150)*P$150</f>
        <v>8.3890988372093034</v>
      </c>
      <c r="Q68" s="60">
        <f t="shared" si="12"/>
        <v>9.5845454215116282E-2</v>
      </c>
      <c r="R68" s="18">
        <f t="shared" si="30"/>
        <v>4.5699999999999998E-2</v>
      </c>
      <c r="S68" s="60">
        <f t="shared" si="21"/>
        <v>2.6642861577034895</v>
      </c>
      <c r="T68" s="61">
        <f t="shared" si="13"/>
        <v>11.053384994912793</v>
      </c>
      <c r="V68" s="62">
        <v>29.3</v>
      </c>
      <c r="W68" s="62">
        <f t="shared" si="14"/>
        <v>6.3112500000000002</v>
      </c>
      <c r="Y68" s="16">
        <f t="shared" ref="Y68" si="129">Y67</f>
        <v>25245</v>
      </c>
      <c r="Z68" s="63">
        <f t="shared" si="27"/>
        <v>233.28702684601637</v>
      </c>
      <c r="AA68" s="82">
        <f>AB68+$C$29-$C$28</f>
        <v>0.10500000000000001</v>
      </c>
      <c r="AB68" s="72">
        <f t="shared" ref="AB68" si="130">AB67</f>
        <v>0.115</v>
      </c>
      <c r="AE68" s="17">
        <v>29830</v>
      </c>
      <c r="AF68" s="65">
        <f t="shared" si="36"/>
        <v>3.5449218750000004</v>
      </c>
      <c r="AG68" s="66">
        <f t="shared" si="37"/>
        <v>4.622674526718999</v>
      </c>
      <c r="AH68" s="66">
        <f>AG68-((AG$20*AR$3)+(AR$4*AG68)+(AL68)+(20%*S68))</f>
        <v>3.6055463991925487</v>
      </c>
      <c r="AI68" s="66">
        <f t="shared" si="38"/>
        <v>2.5245000000000002</v>
      </c>
      <c r="AJ68" s="66">
        <f t="shared" si="39"/>
        <v>2.9897959183673466</v>
      </c>
      <c r="AK68" s="66">
        <f t="shared" si="40"/>
        <v>2.3328702684601637</v>
      </c>
      <c r="AL68" s="24">
        <f t="shared" si="22"/>
        <v>0.25936391491699218</v>
      </c>
      <c r="AM68" s="19"/>
      <c r="AN68" s="70">
        <f t="shared" si="33"/>
        <v>26.890625</v>
      </c>
      <c r="AO68" s="70">
        <f t="shared" si="34"/>
        <v>13.153649999999999</v>
      </c>
      <c r="BD68" s="86">
        <f t="shared" si="24"/>
        <v>3.2282382885674865E-2</v>
      </c>
      <c r="BE68" s="86">
        <f t="shared" si="25"/>
        <v>0</v>
      </c>
    </row>
    <row r="69" spans="14:57" ht="19" hidden="1" customHeight="1">
      <c r="N69" s="17">
        <v>29921</v>
      </c>
      <c r="O69" s="68">
        <f t="shared" si="26"/>
        <v>45.375</v>
      </c>
      <c r="P69" s="59">
        <f>(O69/O$150)*P$150</f>
        <v>8.3890988372093034</v>
      </c>
      <c r="Q69" s="60">
        <f t="shared" si="12"/>
        <v>9.5845454215116282E-2</v>
      </c>
      <c r="R69" s="18">
        <f t="shared" si="30"/>
        <v>4.5699999999999998E-2</v>
      </c>
      <c r="S69" s="60">
        <f t="shared" si="21"/>
        <v>2.7601316119186059</v>
      </c>
      <c r="T69" s="61">
        <f t="shared" si="13"/>
        <v>11.149230449127909</v>
      </c>
      <c r="V69" s="62">
        <v>30.6</v>
      </c>
      <c r="W69" s="62">
        <f t="shared" si="14"/>
        <v>5.3953749999999996</v>
      </c>
      <c r="Y69" s="16">
        <f t="shared" ref="Y69" si="131">(Y67+Y71)/2</f>
        <v>21581.5</v>
      </c>
      <c r="Z69" s="63">
        <f t="shared" si="27"/>
        <v>239.1834675390449</v>
      </c>
      <c r="AA69" s="82">
        <f>AB69+$C$29-$C$28</f>
        <v>0.10500000000000001</v>
      </c>
      <c r="AB69" s="72">
        <f t="shared" si="32"/>
        <v>0.115</v>
      </c>
      <c r="AE69" s="17">
        <v>29921</v>
      </c>
      <c r="AF69" s="65">
        <f t="shared" si="36"/>
        <v>3.5449218750000004</v>
      </c>
      <c r="AG69" s="66">
        <f t="shared" si="37"/>
        <v>4.662758386994013</v>
      </c>
      <c r="AH69" s="66">
        <f>AG69-((AG$20*AR$3)+(AR$4*AG69)+(AL69)+(20%*S69))</f>
        <v>3.6162384696090468</v>
      </c>
      <c r="AI69" s="66">
        <f t="shared" si="38"/>
        <v>2.15815</v>
      </c>
      <c r="AJ69" s="66">
        <f t="shared" si="39"/>
        <v>3.1224489795918369</v>
      </c>
      <c r="AK69" s="66">
        <f t="shared" si="40"/>
        <v>2.3918346753904491</v>
      </c>
      <c r="AL69" s="24">
        <f t="shared" si="22"/>
        <v>0.26798325952148438</v>
      </c>
      <c r="AM69" s="19"/>
      <c r="AN69" s="70">
        <f t="shared" si="33"/>
        <v>26.890625</v>
      </c>
      <c r="AO69" s="70">
        <f t="shared" si="34"/>
        <v>13.153649999999999</v>
      </c>
      <c r="BD69" s="86">
        <f t="shared" si="24"/>
        <v>2.9654507896201832E-3</v>
      </c>
      <c r="BE69" s="86">
        <f t="shared" si="25"/>
        <v>-0.1451178451178452</v>
      </c>
    </row>
    <row r="70" spans="14:57" ht="19" hidden="1" customHeight="1">
      <c r="N70" s="17">
        <v>30011</v>
      </c>
      <c r="O70" s="68">
        <v>46.75</v>
      </c>
      <c r="P70" s="59">
        <f>(O70/O$150)*P$150</f>
        <v>8.6433139534883718</v>
      </c>
      <c r="Q70" s="60">
        <f t="shared" si="12"/>
        <v>0.10480018168604652</v>
      </c>
      <c r="R70" s="75">
        <v>4.8500000000000001E-2</v>
      </c>
      <c r="S70" s="60">
        <f t="shared" si="21"/>
        <v>2.8649317936046526</v>
      </c>
      <c r="T70" s="61">
        <f t="shared" si="13"/>
        <v>11.508245747093024</v>
      </c>
      <c r="V70" s="62">
        <v>31</v>
      </c>
      <c r="W70" s="62">
        <f t="shared" si="14"/>
        <v>5.3953749999999996</v>
      </c>
      <c r="Y70" s="16">
        <f t="shared" ref="Y70" si="132">Y69</f>
        <v>21581.5</v>
      </c>
      <c r="Z70" s="63">
        <f t="shared" si="27"/>
        <v>245.22894357842961</v>
      </c>
      <c r="AA70" s="82">
        <f>AB70+$C$29-$C$28</f>
        <v>0.10500000000000001</v>
      </c>
      <c r="AB70" s="72">
        <f t="shared" si="32"/>
        <v>0.115</v>
      </c>
      <c r="AE70" s="17">
        <v>30011</v>
      </c>
      <c r="AF70" s="65">
        <f t="shared" si="36"/>
        <v>3.65234375</v>
      </c>
      <c r="AG70" s="66">
        <f t="shared" si="37"/>
        <v>4.8129034216028312</v>
      </c>
      <c r="AH70" s="66">
        <f>AG70-((AG$20*AR$3)+(AR$4*AG70)+(AL70)+(20%*S70))</f>
        <v>3.7305371296310685</v>
      </c>
      <c r="AI70" s="66">
        <f t="shared" si="38"/>
        <v>2.15815</v>
      </c>
      <c r="AJ70" s="66">
        <f t="shared" si="39"/>
        <v>3.1632653061224487</v>
      </c>
      <c r="AK70" s="66">
        <f t="shared" si="40"/>
        <v>2.4522894357842961</v>
      </c>
      <c r="AL70" s="24">
        <f t="shared" si="22"/>
        <v>0.27686379638671876</v>
      </c>
      <c r="AM70" s="19"/>
      <c r="AN70" s="73">
        <f t="shared" ref="AN70" si="133">AN69+AF70</f>
        <v>30.54296875</v>
      </c>
      <c r="AO70" s="73">
        <f t="shared" ref="AO70" si="134">AO69+AI70</f>
        <v>15.311799999999998</v>
      </c>
      <c r="BD70" s="86">
        <f t="shared" si="24"/>
        <v>3.1607058268582122E-2</v>
      </c>
      <c r="BE70" s="86">
        <f t="shared" si="25"/>
        <v>0</v>
      </c>
    </row>
    <row r="71" spans="14:57" ht="19" hidden="1" customHeight="1">
      <c r="N71" s="17">
        <v>30103</v>
      </c>
      <c r="O71" s="68">
        <f t="shared" ref="O71" si="135">O70</f>
        <v>46.75</v>
      </c>
      <c r="P71" s="59">
        <f>(O71/O$150)*P$150</f>
        <v>8.6433139534883718</v>
      </c>
      <c r="Q71" s="60">
        <f t="shared" si="12"/>
        <v>0.10480018168604652</v>
      </c>
      <c r="R71" s="18">
        <f t="shared" si="45"/>
        <v>4.8500000000000001E-2</v>
      </c>
      <c r="S71" s="60">
        <f t="shared" si="21"/>
        <v>2.9697319752906992</v>
      </c>
      <c r="T71" s="61">
        <f t="shared" si="13"/>
        <v>11.613045928779071</v>
      </c>
      <c r="V71" s="62">
        <v>31.7</v>
      </c>
      <c r="W71" s="62">
        <f t="shared" si="14"/>
        <v>4.4794999999999998</v>
      </c>
      <c r="Y71" s="74">
        <v>17918</v>
      </c>
      <c r="Z71" s="63">
        <f t="shared" si="27"/>
        <v>251.42722190351915</v>
      </c>
      <c r="AA71" s="82">
        <f>AB71+$C$29-$C$28</f>
        <v>0.125</v>
      </c>
      <c r="AB71" s="72">
        <f t="shared" ref="AB71" si="136">AC71</f>
        <v>0.13500000000000001</v>
      </c>
      <c r="AC71" s="64">
        <v>0.13500000000000001</v>
      </c>
      <c r="AE71" s="17">
        <v>30103</v>
      </c>
      <c r="AF71" s="65">
        <f t="shared" si="36"/>
        <v>3.65234375</v>
      </c>
      <c r="AG71" s="66">
        <f t="shared" si="37"/>
        <v>4.8567322695529009</v>
      </c>
      <c r="AH71" s="66">
        <f>AG71-((AG$20*AR$3)+(AR$4*AG71)+(AL71)+(20%*S71))</f>
        <v>3.7427722504606917</v>
      </c>
      <c r="AI71" s="66">
        <f t="shared" si="38"/>
        <v>1.7918000000000001</v>
      </c>
      <c r="AJ71" s="66">
        <f t="shared" si="39"/>
        <v>3.2346938775510199</v>
      </c>
      <c r="AK71" s="66">
        <f t="shared" si="40"/>
        <v>2.5142722190351914</v>
      </c>
      <c r="AL71" s="24">
        <f t="shared" si="22"/>
        <v>0.28574433325195314</v>
      </c>
      <c r="AM71" s="19"/>
      <c r="AN71" s="70">
        <f t="shared" ref="AN71:AO71" si="137">AN70</f>
        <v>30.54296875</v>
      </c>
      <c r="AO71" s="70">
        <f t="shared" si="137"/>
        <v>15.311799999999998</v>
      </c>
      <c r="BD71" s="86">
        <f t="shared" si="24"/>
        <v>3.2797209636226121E-3</v>
      </c>
      <c r="BE71" s="86">
        <f t="shared" si="25"/>
        <v>-0.16975187081528154</v>
      </c>
    </row>
    <row r="72" spans="14:57" ht="19" hidden="1" customHeight="1">
      <c r="N72" s="17">
        <v>30195</v>
      </c>
      <c r="O72" s="71">
        <f>(O74+O70)/2</f>
        <v>49.625</v>
      </c>
      <c r="P72" s="59">
        <f>(O72/O$150)*P$150</f>
        <v>9.1748546511627911</v>
      </c>
      <c r="Q72" s="60">
        <f t="shared" si="12"/>
        <v>0.11124511264534885</v>
      </c>
      <c r="R72" s="18">
        <f t="shared" si="30"/>
        <v>4.8500000000000001E-2</v>
      </c>
      <c r="S72" s="60">
        <f t="shared" si="21"/>
        <v>3.0809770879360481</v>
      </c>
      <c r="T72" s="61">
        <f t="shared" si="13"/>
        <v>12.25583173909884</v>
      </c>
      <c r="V72" s="62">
        <v>32.799999999999997</v>
      </c>
      <c r="W72" s="62">
        <f t="shared" si="14"/>
        <v>4.4794999999999998</v>
      </c>
      <c r="Y72" s="16">
        <f t="shared" ref="Y72" si="138">Y71</f>
        <v>17918</v>
      </c>
      <c r="Z72" s="63">
        <f t="shared" si="27"/>
        <v>258.94076538035637</v>
      </c>
      <c r="AA72" s="82">
        <f>AB72+$C$29-$C$28</f>
        <v>0.125</v>
      </c>
      <c r="AB72" s="72">
        <f t="shared" ref="AB72" si="139">AB71</f>
        <v>0.13500000000000001</v>
      </c>
      <c r="AE72" s="17">
        <v>30195</v>
      </c>
      <c r="AF72" s="65">
        <f t="shared" si="36"/>
        <v>3.8769531250000004</v>
      </c>
      <c r="AG72" s="66">
        <f t="shared" si="37"/>
        <v>5.1255539556580327</v>
      </c>
      <c r="AH72" s="66">
        <f>AG72-((AG$20*AR$3)+(AR$4*AG72)+(AL72)+(20%*S72))</f>
        <v>3.9691653804548532</v>
      </c>
      <c r="AI72" s="66">
        <f t="shared" si="38"/>
        <v>1.7918000000000001</v>
      </c>
      <c r="AJ72" s="66">
        <f t="shared" si="39"/>
        <v>3.3469387755102034</v>
      </c>
      <c r="AK72" s="66">
        <f t="shared" si="40"/>
        <v>2.5894076538035637</v>
      </c>
      <c r="AL72" s="24">
        <f t="shared" si="22"/>
        <v>0.29517099938964847</v>
      </c>
      <c r="AM72" s="19"/>
      <c r="AN72" s="70">
        <f t="shared" si="33"/>
        <v>30.54296875</v>
      </c>
      <c r="AO72" s="70">
        <f t="shared" si="34"/>
        <v>15.311799999999998</v>
      </c>
      <c r="BD72" s="86">
        <f t="shared" si="24"/>
        <v>6.0488086061420088E-2</v>
      </c>
      <c r="BE72" s="86">
        <f t="shared" si="25"/>
        <v>0</v>
      </c>
    </row>
    <row r="73" spans="14:57" ht="19" hidden="1" customHeight="1">
      <c r="N73" s="17">
        <v>30286</v>
      </c>
      <c r="O73" s="68">
        <f t="shared" si="26"/>
        <v>49.625</v>
      </c>
      <c r="P73" s="59">
        <f>(O73/O$150)*P$150</f>
        <v>9.1748546511627911</v>
      </c>
      <c r="Q73" s="60">
        <f t="shared" si="12"/>
        <v>0.11124511264534885</v>
      </c>
      <c r="R73" s="18">
        <f t="shared" si="30"/>
        <v>4.8500000000000001E-2</v>
      </c>
      <c r="S73" s="60">
        <f t="shared" si="21"/>
        <v>3.1922222005813969</v>
      </c>
      <c r="T73" s="61">
        <f t="shared" si="13"/>
        <v>12.367076851744187</v>
      </c>
      <c r="V73" s="62">
        <v>33.700000000000003</v>
      </c>
      <c r="W73" s="62">
        <f t="shared" si="14"/>
        <v>5.2575000000000003</v>
      </c>
      <c r="Y73" s="16">
        <f t="shared" ref="Y73" si="140">(Y71+Y75)/2</f>
        <v>21030</v>
      </c>
      <c r="Z73" s="63">
        <f t="shared" si="27"/>
        <v>266.67884037430986</v>
      </c>
      <c r="AA73" s="82">
        <f>AB73+$C$29-$C$28</f>
        <v>0.125</v>
      </c>
      <c r="AB73" s="72">
        <f t="shared" si="32"/>
        <v>0.13500000000000001</v>
      </c>
      <c r="AE73" s="17">
        <v>30286</v>
      </c>
      <c r="AF73" s="65">
        <f t="shared" si="36"/>
        <v>3.8769531250000004</v>
      </c>
      <c r="AG73" s="66">
        <f t="shared" si="37"/>
        <v>5.1720781605675974</v>
      </c>
      <c r="AH73" s="66">
        <f>AG73-((AG$20*AR$3)+(AR$4*AG73)+(AL73)+(20%*S73))</f>
        <v>3.9821529285012702</v>
      </c>
      <c r="AI73" s="66">
        <f t="shared" si="38"/>
        <v>2.1030000000000002</v>
      </c>
      <c r="AJ73" s="66">
        <f t="shared" si="39"/>
        <v>3.4387755102040818</v>
      </c>
      <c r="AK73" s="66">
        <f t="shared" si="40"/>
        <v>2.6667884037430984</v>
      </c>
      <c r="AL73" s="24">
        <f t="shared" si="22"/>
        <v>0.3045976655273438</v>
      </c>
      <c r="AM73" s="19"/>
      <c r="AN73" s="70">
        <f t="shared" si="33"/>
        <v>30.54296875</v>
      </c>
      <c r="AO73" s="70">
        <f t="shared" si="34"/>
        <v>15.311799999999998</v>
      </c>
      <c r="BD73" s="86">
        <f t="shared" si="24"/>
        <v>3.2721105828370511E-3</v>
      </c>
      <c r="BE73" s="86">
        <f t="shared" si="25"/>
        <v>0.17368009822524844</v>
      </c>
    </row>
    <row r="74" spans="14:57" ht="19" hidden="1" customHeight="1">
      <c r="N74" s="17">
        <v>30376</v>
      </c>
      <c r="O74" s="68">
        <v>52.5</v>
      </c>
      <c r="P74" s="59">
        <f>(O74/O$150)*P$150</f>
        <v>9.7063953488372103</v>
      </c>
      <c r="Q74" s="60">
        <f t="shared" si="12"/>
        <v>0.12594047965116281</v>
      </c>
      <c r="R74" s="75">
        <v>5.1900000000000002E-2</v>
      </c>
      <c r="S74" s="60">
        <f t="shared" si="21"/>
        <v>3.3181626802325597</v>
      </c>
      <c r="T74" s="61">
        <f t="shared" si="13"/>
        <v>13.02455802906977</v>
      </c>
      <c r="V74" s="62">
        <v>34.4</v>
      </c>
      <c r="W74" s="62">
        <f t="shared" si="14"/>
        <v>5.2575000000000003</v>
      </c>
      <c r="Y74" s="16">
        <f t="shared" ref="Y74" si="141">Y73</f>
        <v>21030</v>
      </c>
      <c r="Z74" s="63">
        <f t="shared" si="27"/>
        <v>274.64815668912718</v>
      </c>
      <c r="AA74" s="82">
        <f>AB74+$C$29-$C$28</f>
        <v>0.125</v>
      </c>
      <c r="AB74" s="72">
        <f t="shared" si="32"/>
        <v>0.13500000000000001</v>
      </c>
      <c r="AE74" s="17">
        <v>30376</v>
      </c>
      <c r="AF74" s="65">
        <f t="shared" si="36"/>
        <v>4.1015625000000009</v>
      </c>
      <c r="AG74" s="66">
        <f t="shared" si="37"/>
        <v>5.4470456471446962</v>
      </c>
      <c r="AH74" s="66">
        <f>AG74-((AG$20*AR$3)+(AR$4*AG74)+(AL74)+(20%*S74))</f>
        <v>4.2109608242748964</v>
      </c>
      <c r="AI74" s="66">
        <f t="shared" si="38"/>
        <v>2.1030000000000002</v>
      </c>
      <c r="AJ74" s="66">
        <f t="shared" si="39"/>
        <v>3.5102040816326525</v>
      </c>
      <c r="AK74" s="66">
        <f t="shared" si="40"/>
        <v>2.7464815668912719</v>
      </c>
      <c r="AL74" s="24">
        <f t="shared" si="22"/>
        <v>0.31457046093750007</v>
      </c>
      <c r="AM74" s="19"/>
      <c r="AN74" s="73">
        <f t="shared" ref="AN74" si="142">AN73+AF74</f>
        <v>34.64453125</v>
      </c>
      <c r="AO74" s="73">
        <f t="shared" ref="AO74" si="143">AO73+AI74</f>
        <v>17.4148</v>
      </c>
      <c r="BD74" s="86">
        <f t="shared" si="24"/>
        <v>5.7458339717691542E-2</v>
      </c>
      <c r="BE74" s="86">
        <f t="shared" si="25"/>
        <v>0</v>
      </c>
    </row>
    <row r="75" spans="14:57" ht="19" hidden="1" customHeight="1">
      <c r="N75" s="17">
        <v>30468</v>
      </c>
      <c r="O75" s="68">
        <f t="shared" ref="O75" si="144">O74</f>
        <v>52.5</v>
      </c>
      <c r="P75" s="59">
        <f>(O75/O$150)*P$150</f>
        <v>9.7063953488372103</v>
      </c>
      <c r="Q75" s="60">
        <f t="shared" si="12"/>
        <v>0.12594047965116281</v>
      </c>
      <c r="R75" s="18">
        <f t="shared" si="45"/>
        <v>5.1900000000000002E-2</v>
      </c>
      <c r="S75" s="60">
        <f t="shared" si="21"/>
        <v>3.4441031598837224</v>
      </c>
      <c r="T75" s="61">
        <f t="shared" si="13"/>
        <v>13.150498508720933</v>
      </c>
      <c r="V75" s="62">
        <v>35.4</v>
      </c>
      <c r="W75" s="62">
        <f t="shared" si="14"/>
        <v>6.0354999999999999</v>
      </c>
      <c r="Y75" s="74">
        <v>24142</v>
      </c>
      <c r="Z75" s="63">
        <f t="shared" si="27"/>
        <v>282.85562464145903</v>
      </c>
      <c r="AA75" s="82">
        <f>AB75+$C$29-$C$28</f>
        <v>0.115</v>
      </c>
      <c r="AB75" s="72">
        <f t="shared" ref="AB75" si="145">AC75</f>
        <v>0.125</v>
      </c>
      <c r="AC75" s="64">
        <v>0.125</v>
      </c>
      <c r="AE75" s="17">
        <v>30468</v>
      </c>
      <c r="AF75" s="65">
        <f t="shared" si="36"/>
        <v>4.1015625000000009</v>
      </c>
      <c r="AG75" s="66">
        <f t="shared" si="37"/>
        <v>5.4997156525262287</v>
      </c>
      <c r="AH75" s="66">
        <f>AG75-((AG$20*AR$3)+(AR$4*AG75)+(AL75)+(20%*S75))</f>
        <v>4.2263631381007789</v>
      </c>
      <c r="AI75" s="66">
        <f t="shared" si="38"/>
        <v>2.4142000000000001</v>
      </c>
      <c r="AJ75" s="66">
        <f t="shared" si="39"/>
        <v>3.6122448979591835</v>
      </c>
      <c r="AK75" s="66">
        <f t="shared" si="40"/>
        <v>2.8285562464145904</v>
      </c>
      <c r="AL75" s="24">
        <f t="shared" si="22"/>
        <v>0.32454325634765635</v>
      </c>
      <c r="AM75" s="19"/>
      <c r="AN75" s="70">
        <f t="shared" ref="AN75:AO75" si="146">AN74</f>
        <v>34.64453125</v>
      </c>
      <c r="AO75" s="70">
        <f t="shared" si="146"/>
        <v>17.4148</v>
      </c>
      <c r="BD75" s="86">
        <f t="shared" si="24"/>
        <v>3.6576720773779936E-3</v>
      </c>
      <c r="BE75" s="86">
        <f t="shared" si="25"/>
        <v>0.1479790775083214</v>
      </c>
    </row>
    <row r="76" spans="14:57" ht="19" hidden="1" customHeight="1">
      <c r="N76" s="17">
        <v>30560</v>
      </c>
      <c r="O76" s="71">
        <f>(O78+O74)/2</f>
        <v>58.75</v>
      </c>
      <c r="P76" s="59">
        <f>(O76/O$150)*P$150</f>
        <v>10.861918604651162</v>
      </c>
      <c r="Q76" s="60">
        <f t="shared" si="12"/>
        <v>0.14093339389534884</v>
      </c>
      <c r="R76" s="18">
        <f t="shared" si="30"/>
        <v>5.1900000000000002E-2</v>
      </c>
      <c r="S76" s="60">
        <f t="shared" si="21"/>
        <v>3.5850365537790712</v>
      </c>
      <c r="T76" s="61">
        <f t="shared" si="13"/>
        <v>14.446955158430233</v>
      </c>
      <c r="V76" s="62">
        <v>35.9</v>
      </c>
      <c r="W76" s="62">
        <f t="shared" si="14"/>
        <v>6.0354999999999999</v>
      </c>
      <c r="Y76" s="16">
        <f t="shared" ref="Y76" si="147">Y75</f>
        <v>24142</v>
      </c>
      <c r="Z76" s="63">
        <f t="shared" si="27"/>
        <v>290.65884004210494</v>
      </c>
      <c r="AA76" s="82">
        <f>AB76+$C$29-$C$28</f>
        <v>0.115</v>
      </c>
      <c r="AB76" s="72">
        <f t="shared" ref="AB76" si="148">AB75</f>
        <v>0.125</v>
      </c>
      <c r="AE76" s="17">
        <v>30560</v>
      </c>
      <c r="AF76" s="65">
        <f t="shared" si="36"/>
        <v>4.58984375</v>
      </c>
      <c r="AG76" s="66">
        <f t="shared" si="37"/>
        <v>6.0419112905470609</v>
      </c>
      <c r="AH76" s="66">
        <f>AG76-((AG$20*AR$3)+(AR$4*AG76)+(AL76)+(20%*S76))</f>
        <v>4.7075242388627236</v>
      </c>
      <c r="AI76" s="66">
        <f t="shared" si="38"/>
        <v>2.4142000000000001</v>
      </c>
      <c r="AJ76" s="66">
        <f t="shared" si="39"/>
        <v>3.6632653061224487</v>
      </c>
      <c r="AK76" s="66">
        <f t="shared" si="40"/>
        <v>2.9065884004210494</v>
      </c>
      <c r="AL76" s="24">
        <f t="shared" si="22"/>
        <v>0.33570328930664073</v>
      </c>
      <c r="AM76" s="19"/>
      <c r="AN76" s="70">
        <f t="shared" si="33"/>
        <v>34.64453125</v>
      </c>
      <c r="AO76" s="70">
        <f t="shared" si="34"/>
        <v>17.4148</v>
      </c>
      <c r="BD76" s="86">
        <f t="shared" si="24"/>
        <v>0.11384755285797965</v>
      </c>
      <c r="BE76" s="86">
        <f t="shared" si="25"/>
        <v>0</v>
      </c>
    </row>
    <row r="77" spans="14:57" ht="19" hidden="1" customHeight="1">
      <c r="N77" s="17">
        <v>30651</v>
      </c>
      <c r="O77" s="68">
        <f t="shared" si="26"/>
        <v>58.75</v>
      </c>
      <c r="P77" s="59">
        <f>(O77/O$150)*P$150</f>
        <v>10.861918604651162</v>
      </c>
      <c r="Q77" s="60">
        <f t="shared" si="12"/>
        <v>0.14093339389534884</v>
      </c>
      <c r="R77" s="18">
        <f t="shared" si="30"/>
        <v>5.1900000000000002E-2</v>
      </c>
      <c r="S77" s="60">
        <f t="shared" si="21"/>
        <v>3.7259699476744199</v>
      </c>
      <c r="T77" s="61">
        <f t="shared" si="13"/>
        <v>14.587888552325582</v>
      </c>
      <c r="V77" s="62">
        <v>37</v>
      </c>
      <c r="W77" s="62">
        <f t="shared" si="14"/>
        <v>6.4420000000000002</v>
      </c>
      <c r="Y77" s="16">
        <f t="shared" ref="Y77" si="149">(Y75+Y79)/2</f>
        <v>25768</v>
      </c>
      <c r="Z77" s="63">
        <f t="shared" si="27"/>
        <v>298.67732487805398</v>
      </c>
      <c r="AA77" s="82">
        <f>AB77+$C$29-$C$28</f>
        <v>0.115</v>
      </c>
      <c r="AB77" s="72">
        <f t="shared" si="32"/>
        <v>0.125</v>
      </c>
      <c r="AE77" s="17">
        <v>30651</v>
      </c>
      <c r="AF77" s="65">
        <f t="shared" si="36"/>
        <v>4.58984375</v>
      </c>
      <c r="AG77" s="66">
        <f t="shared" si="37"/>
        <v>6.10085153466449</v>
      </c>
      <c r="AH77" s="66">
        <f>AG77-((AG$20*AR$3)+(AR$4*AG77)+(AL77)+(20%*S77))</f>
        <v>4.7247601614774011</v>
      </c>
      <c r="AI77" s="66">
        <f t="shared" si="38"/>
        <v>2.5768</v>
      </c>
      <c r="AJ77" s="66">
        <f t="shared" si="39"/>
        <v>3.7755102040816322</v>
      </c>
      <c r="AK77" s="66">
        <f t="shared" si="40"/>
        <v>2.9867732487805396</v>
      </c>
      <c r="AL77" s="24">
        <f t="shared" si="22"/>
        <v>0.34686332226562511</v>
      </c>
      <c r="AM77" s="19"/>
      <c r="AN77" s="70">
        <f t="shared" si="33"/>
        <v>34.64453125</v>
      </c>
      <c r="AO77" s="70">
        <f t="shared" si="34"/>
        <v>17.4148</v>
      </c>
      <c r="BD77" s="86">
        <f t="shared" si="24"/>
        <v>3.6613561056970667E-3</v>
      </c>
      <c r="BE77" s="86">
        <f t="shared" si="25"/>
        <v>6.7351503603678253E-2</v>
      </c>
    </row>
    <row r="78" spans="14:57" ht="19" hidden="1" customHeight="1">
      <c r="N78" s="17">
        <v>30742</v>
      </c>
      <c r="O78" s="68">
        <v>65</v>
      </c>
      <c r="P78" s="59">
        <f>(O78/O$150)*P$150</f>
        <v>12.017441860465118</v>
      </c>
      <c r="Q78" s="60">
        <f t="shared" si="12"/>
        <v>0.15322238372093025</v>
      </c>
      <c r="R78" s="75">
        <v>5.0999999999999997E-2</v>
      </c>
      <c r="S78" s="60">
        <f t="shared" si="21"/>
        <v>3.87919233139535</v>
      </c>
      <c r="T78" s="61">
        <f t="shared" si="13"/>
        <v>15.896634191860468</v>
      </c>
      <c r="V78" s="62">
        <v>36.799999999999997</v>
      </c>
      <c r="W78" s="62">
        <f t="shared" si="14"/>
        <v>6.4420000000000002</v>
      </c>
      <c r="Y78" s="16">
        <f t="shared" ref="Y78" si="150">Y77</f>
        <v>25768</v>
      </c>
      <c r="Z78" s="63">
        <f t="shared" si="27"/>
        <v>306.91701784603515</v>
      </c>
      <c r="AA78" s="82">
        <f>AB78+$C$29-$C$28</f>
        <v>0.115</v>
      </c>
      <c r="AB78" s="72">
        <f t="shared" si="32"/>
        <v>0.125</v>
      </c>
      <c r="AE78" s="17">
        <v>30742</v>
      </c>
      <c r="AF78" s="65">
        <f t="shared" si="36"/>
        <v>5.0781250000000009</v>
      </c>
      <c r="AG78" s="66">
        <f t="shared" si="37"/>
        <v>6.6481865937994868</v>
      </c>
      <c r="AH78" s="66">
        <f>AG78-((AG$20*AR$3)+(AR$4*AG78)+(AL78)+(20%*S78))</f>
        <v>5.207210070995</v>
      </c>
      <c r="AI78" s="66">
        <f t="shared" si="38"/>
        <v>2.5768</v>
      </c>
      <c r="AJ78" s="66">
        <f t="shared" si="39"/>
        <v>3.7551020408163258</v>
      </c>
      <c r="AK78" s="66">
        <f t="shared" si="40"/>
        <v>3.0691701784603516</v>
      </c>
      <c r="AL78" s="24">
        <f t="shared" si="22"/>
        <v>0.35921059277343759</v>
      </c>
      <c r="AM78" s="19"/>
      <c r="AN78" s="73">
        <f t="shared" ref="AN78" si="151">AN77+AF78</f>
        <v>39.72265625</v>
      </c>
      <c r="AO78" s="73">
        <f t="shared" ref="AO78" si="152">AO77+AI78</f>
        <v>19.991599999999998</v>
      </c>
      <c r="BD78" s="86">
        <f t="shared" si="24"/>
        <v>0.10211098405611763</v>
      </c>
      <c r="BE78" s="86">
        <f t="shared" si="25"/>
        <v>0</v>
      </c>
    </row>
    <row r="79" spans="14:57" ht="19" hidden="1" customHeight="1">
      <c r="N79" s="17">
        <v>30834</v>
      </c>
      <c r="O79" s="68">
        <f t="shared" ref="O79" si="153">O78</f>
        <v>65</v>
      </c>
      <c r="P79" s="59">
        <f>(O79/O$150)*P$150</f>
        <v>12.017441860465118</v>
      </c>
      <c r="Q79" s="60">
        <f t="shared" si="12"/>
        <v>0.15322238372093025</v>
      </c>
      <c r="R79" s="18">
        <f t="shared" si="45"/>
        <v>5.0999999999999997E-2</v>
      </c>
      <c r="S79" s="60">
        <f t="shared" si="21"/>
        <v>4.0324147151162801</v>
      </c>
      <c r="T79" s="61">
        <f t="shared" si="13"/>
        <v>16.049856575581398</v>
      </c>
      <c r="V79" s="62">
        <v>36.9</v>
      </c>
      <c r="W79" s="62">
        <f t="shared" si="14"/>
        <v>6.8484999999999996</v>
      </c>
      <c r="Y79" s="74">
        <v>27394</v>
      </c>
      <c r="Z79" s="63">
        <f t="shared" si="27"/>
        <v>315.38402147522675</v>
      </c>
      <c r="AA79" s="82">
        <f>AB79+$C$29-$C$28</f>
        <v>0.10500000000000001</v>
      </c>
      <c r="AB79" s="72">
        <f t="shared" ref="AB79" si="154">AC79</f>
        <v>0.115</v>
      </c>
      <c r="AC79" s="64">
        <v>0.115</v>
      </c>
      <c r="AE79" s="17">
        <v>30834</v>
      </c>
      <c r="AF79" s="65">
        <f t="shared" si="36"/>
        <v>5.0781250000000009</v>
      </c>
      <c r="AG79" s="66">
        <f t="shared" si="37"/>
        <v>6.712266259031078</v>
      </c>
      <c r="AH79" s="66">
        <f>AG79-((AG$20*AR$3)+(AR$4*AG79)+(AL79)+(20%*S79))</f>
        <v>5.2257348023653289</v>
      </c>
      <c r="AI79" s="66">
        <f t="shared" si="38"/>
        <v>2.7393999999999998</v>
      </c>
      <c r="AJ79" s="66">
        <f t="shared" si="39"/>
        <v>3.7653061224489792</v>
      </c>
      <c r="AK79" s="66">
        <f t="shared" si="40"/>
        <v>3.1538402147522673</v>
      </c>
      <c r="AL79" s="24">
        <f t="shared" si="22"/>
        <v>0.37155786328125007</v>
      </c>
      <c r="AM79" s="19"/>
      <c r="AN79" s="70">
        <f t="shared" ref="AN79:AO79" si="155">AN78</f>
        <v>39.72265625</v>
      </c>
      <c r="AO79" s="70">
        <f t="shared" si="155"/>
        <v>19.991599999999998</v>
      </c>
      <c r="BD79" s="86">
        <f t="shared" si="24"/>
        <v>3.5575156595879509E-3</v>
      </c>
      <c r="BE79" s="86">
        <f t="shared" si="25"/>
        <v>6.3101521266687222E-2</v>
      </c>
    </row>
    <row r="80" spans="14:57" ht="19" hidden="1" customHeight="1">
      <c r="N80" s="17">
        <v>30926</v>
      </c>
      <c r="O80" s="71">
        <f>(O82+O78)/2</f>
        <v>70.099999999999994</v>
      </c>
      <c r="P80" s="59">
        <f>(O80/O$150)*P$150</f>
        <v>12.960348837209303</v>
      </c>
      <c r="Q80" s="60">
        <f t="shared" si="12"/>
        <v>0.16524444767441859</v>
      </c>
      <c r="R80" s="18">
        <f t="shared" si="30"/>
        <v>5.0999999999999997E-2</v>
      </c>
      <c r="S80" s="60">
        <f t="shared" si="21"/>
        <v>4.197659162790699</v>
      </c>
      <c r="T80" s="61">
        <f t="shared" si="13"/>
        <v>17.158008000000002</v>
      </c>
      <c r="V80" s="62">
        <v>37.5</v>
      </c>
      <c r="W80" s="62">
        <f t="shared" si="14"/>
        <v>6.8484999999999996</v>
      </c>
      <c r="Y80" s="16">
        <f t="shared" ref="Y80" si="156">Y79</f>
        <v>27394</v>
      </c>
      <c r="Z80" s="63">
        <f t="shared" si="27"/>
        <v>323.35550280146862</v>
      </c>
      <c r="AA80" s="82">
        <f>AB80+$C$29-$C$28</f>
        <v>0.10500000000000001</v>
      </c>
      <c r="AB80" s="72">
        <f t="shared" ref="AB80" si="157">AB79</f>
        <v>0.115</v>
      </c>
      <c r="AE80" s="17">
        <v>30926</v>
      </c>
      <c r="AF80" s="65">
        <f t="shared" si="36"/>
        <v>5.4765625</v>
      </c>
      <c r="AG80" s="66">
        <f t="shared" si="37"/>
        <v>7.1757101148060185</v>
      </c>
      <c r="AH80" s="66">
        <f>AG80-((AG$20*AR$3)+(AR$4*AG80)+(AL80)+(20%*S80))</f>
        <v>5.6242759580267316</v>
      </c>
      <c r="AI80" s="66">
        <f t="shared" si="38"/>
        <v>2.7393999999999998</v>
      </c>
      <c r="AJ80" s="66">
        <f t="shared" si="39"/>
        <v>3.8265306122448979</v>
      </c>
      <c r="AK80" s="66">
        <f t="shared" si="40"/>
        <v>3.2335550280146861</v>
      </c>
      <c r="AL80" s="24">
        <f t="shared" si="22"/>
        <v>0.38487391962890632</v>
      </c>
      <c r="AM80" s="19"/>
      <c r="AN80" s="70">
        <f t="shared" si="33"/>
        <v>39.72265625</v>
      </c>
      <c r="AO80" s="70">
        <f t="shared" si="34"/>
        <v>19.991599999999998</v>
      </c>
      <c r="BD80" s="86">
        <f t="shared" si="24"/>
        <v>7.626509395023473E-2</v>
      </c>
      <c r="BE80" s="86">
        <f t="shared" si="25"/>
        <v>0</v>
      </c>
    </row>
    <row r="81" spans="14:57" ht="19" hidden="1" customHeight="1">
      <c r="N81" s="17">
        <v>31017</v>
      </c>
      <c r="O81" s="68">
        <f t="shared" si="26"/>
        <v>70.099999999999994</v>
      </c>
      <c r="P81" s="59">
        <f>(O81/O$150)*P$150</f>
        <v>12.960348837209303</v>
      </c>
      <c r="Q81" s="60">
        <f t="shared" si="12"/>
        <v>0.16524444767441859</v>
      </c>
      <c r="R81" s="18">
        <f t="shared" si="30"/>
        <v>5.0999999999999997E-2</v>
      </c>
      <c r="S81" s="60">
        <f t="shared" si="21"/>
        <v>4.3629036104651178</v>
      </c>
      <c r="T81" s="61">
        <f t="shared" si="13"/>
        <v>17.32325244767442</v>
      </c>
      <c r="V81" s="62">
        <v>37.9</v>
      </c>
      <c r="W81" s="62">
        <f t="shared" si="14"/>
        <v>8.0971250000000001</v>
      </c>
      <c r="Y81" s="16">
        <f t="shared" ref="Y81" si="158">(Y79+Y83)/2</f>
        <v>32388.5</v>
      </c>
      <c r="Z81" s="63">
        <f t="shared" si="27"/>
        <v>331.5284671141896</v>
      </c>
      <c r="AA81" s="82">
        <f>AB81+$C$29-$C$28</f>
        <v>0.10500000000000001</v>
      </c>
      <c r="AB81" s="72">
        <f t="shared" si="32"/>
        <v>0.115</v>
      </c>
      <c r="AE81" s="17">
        <v>31017</v>
      </c>
      <c r="AF81" s="65">
        <f t="shared" si="36"/>
        <v>5.4765625</v>
      </c>
      <c r="AG81" s="66">
        <f t="shared" si="37"/>
        <v>7.2448175691557806</v>
      </c>
      <c r="AH81" s="66">
        <f>AG81-((AG$20*AR$3)+(AR$4*AG81)+(AL81)+(20%*S81))</f>
        <v>5.6442541683199634</v>
      </c>
      <c r="AI81" s="66">
        <f t="shared" si="38"/>
        <v>3.2388499999999998</v>
      </c>
      <c r="AJ81" s="66">
        <f t="shared" si="39"/>
        <v>3.8673469387755097</v>
      </c>
      <c r="AK81" s="66">
        <f t="shared" si="40"/>
        <v>3.315284671141896</v>
      </c>
      <c r="AL81" s="24">
        <f t="shared" si="22"/>
        <v>0.39818997597656258</v>
      </c>
      <c r="AM81" s="19"/>
      <c r="AN81" s="70">
        <f t="shared" si="33"/>
        <v>39.72265625</v>
      </c>
      <c r="AO81" s="70">
        <f t="shared" si="34"/>
        <v>19.991599999999998</v>
      </c>
      <c r="BD81" s="86">
        <f t="shared" si="24"/>
        <v>3.5521390561783495E-3</v>
      </c>
      <c r="BE81" s="86">
        <f t="shared" si="25"/>
        <v>0.18232094619259698</v>
      </c>
    </row>
    <row r="82" spans="14:57" ht="19" hidden="1" customHeight="1">
      <c r="N82" s="17">
        <v>31107</v>
      </c>
      <c r="O82" s="68">
        <v>75.2</v>
      </c>
      <c r="P82" s="59">
        <f>(O82/O$150)*P$150</f>
        <v>13.903255813953489</v>
      </c>
      <c r="Q82" s="60">
        <f t="shared" si="12"/>
        <v>0.1727479534883721</v>
      </c>
      <c r="R82" s="75">
        <v>4.9700000000000001E-2</v>
      </c>
      <c r="S82" s="60">
        <f t="shared" si="21"/>
        <v>4.5356515639534898</v>
      </c>
      <c r="T82" s="61">
        <f t="shared" si="13"/>
        <v>18.438907377906979</v>
      </c>
      <c r="V82" s="62">
        <v>38.4</v>
      </c>
      <c r="W82" s="62">
        <f t="shared" si="14"/>
        <v>8.0971250000000001</v>
      </c>
      <c r="Y82" s="16">
        <f t="shared" ref="Y82" si="159">Y81</f>
        <v>32388.5</v>
      </c>
      <c r="Z82" s="63">
        <f t="shared" si="27"/>
        <v>339.90800699181762</v>
      </c>
      <c r="AA82" s="82">
        <f>AB82+$C$29-$C$28</f>
        <v>0.10500000000000001</v>
      </c>
      <c r="AB82" s="72">
        <f t="shared" si="32"/>
        <v>0.115</v>
      </c>
      <c r="AE82" s="17">
        <v>31107</v>
      </c>
      <c r="AF82" s="65">
        <f t="shared" si="36"/>
        <v>5.8750000000000009</v>
      </c>
      <c r="AG82" s="66">
        <f t="shared" si="37"/>
        <v>7.7113994921565725</v>
      </c>
      <c r="AH82" s="66">
        <f>AG82-((AG$20*AR$3)+(AR$4*AG82)+(AL82)+(20%*S82))</f>
        <v>6.0433383815155493</v>
      </c>
      <c r="AI82" s="66">
        <f t="shared" si="38"/>
        <v>3.2388499999999998</v>
      </c>
      <c r="AJ82" s="66">
        <f t="shared" si="39"/>
        <v>3.918367346938775</v>
      </c>
      <c r="AK82" s="66">
        <f t="shared" si="40"/>
        <v>3.3990800699181762</v>
      </c>
      <c r="AL82" s="24">
        <f t="shared" si="22"/>
        <v>0.41247481816406256</v>
      </c>
      <c r="AM82" s="19"/>
      <c r="AN82" s="73">
        <f t="shared" ref="AN82" si="160">AN81+AF82</f>
        <v>45.59765625</v>
      </c>
      <c r="AO82" s="73">
        <f t="shared" ref="AO82" si="161">AO81+AI82</f>
        <v>23.230449999999998</v>
      </c>
      <c r="BD82" s="86">
        <f t="shared" si="24"/>
        <v>7.0706279571101316E-2</v>
      </c>
      <c r="BE82" s="86">
        <f t="shared" si="25"/>
        <v>0</v>
      </c>
    </row>
    <row r="83" spans="14:57" ht="19" hidden="1" customHeight="1">
      <c r="N83" s="17">
        <v>31199</v>
      </c>
      <c r="O83" s="68">
        <f t="shared" ref="O83" si="162">O82</f>
        <v>75.2</v>
      </c>
      <c r="P83" s="59">
        <f>(O83/O$150)*P$150</f>
        <v>13.903255813953489</v>
      </c>
      <c r="Q83" s="60">
        <f t="shared" si="12"/>
        <v>0.1727479534883721</v>
      </c>
      <c r="R83" s="18">
        <f t="shared" si="45"/>
        <v>4.9700000000000001E-2</v>
      </c>
      <c r="S83" s="60">
        <f t="shared" si="21"/>
        <v>4.7083995174418618</v>
      </c>
      <c r="T83" s="61">
        <f t="shared" si="13"/>
        <v>18.611655331395351</v>
      </c>
      <c r="V83" s="62">
        <v>39.5</v>
      </c>
      <c r="W83" s="62">
        <f t="shared" si="14"/>
        <v>9.3457500000000007</v>
      </c>
      <c r="Y83" s="74">
        <v>37383</v>
      </c>
      <c r="Z83" s="63">
        <f t="shared" si="27"/>
        <v>348.49934373012542</v>
      </c>
      <c r="AA83" s="82">
        <f>AB83+$C$29-$C$28</f>
        <v>0.11</v>
      </c>
      <c r="AB83" s="72">
        <f t="shared" ref="AB83" si="163">AC83</f>
        <v>0.12</v>
      </c>
      <c r="AC83" s="64">
        <v>0.12</v>
      </c>
      <c r="AE83" s="17">
        <v>31199</v>
      </c>
      <c r="AF83" s="65">
        <f t="shared" si="36"/>
        <v>5.8750000000000009</v>
      </c>
      <c r="AG83" s="66">
        <f t="shared" si="37"/>
        <v>7.783645013732186</v>
      </c>
      <c r="AH83" s="66">
        <f>AG83-((AG$20*AR$3)+(AR$4*AG83)+(AL83)+(20%*S83))</f>
        <v>6.0638596493429642</v>
      </c>
      <c r="AI83" s="66">
        <f t="shared" si="38"/>
        <v>3.7383000000000002</v>
      </c>
      <c r="AJ83" s="66">
        <f t="shared" si="39"/>
        <v>4.0306122448979593</v>
      </c>
      <c r="AK83" s="66">
        <f t="shared" si="40"/>
        <v>3.4849934373012541</v>
      </c>
      <c r="AL83" s="24">
        <f t="shared" si="22"/>
        <v>0.42675966035156254</v>
      </c>
      <c r="AM83" s="19"/>
      <c r="AN83" s="70">
        <f t="shared" ref="AN83:AO83" si="164">AN82</f>
        <v>45.59765625</v>
      </c>
      <c r="AO83" s="70">
        <f t="shared" si="164"/>
        <v>23.230449999999998</v>
      </c>
      <c r="BD83" s="86">
        <f t="shared" si="24"/>
        <v>3.3956840626667706E-3</v>
      </c>
      <c r="BE83" s="86">
        <f t="shared" si="25"/>
        <v>0.15420596816771392</v>
      </c>
    </row>
    <row r="84" spans="14:57" ht="19" hidden="1" customHeight="1">
      <c r="N84" s="17">
        <v>31291</v>
      </c>
      <c r="O84" s="71">
        <f>(O86+O82)/2</f>
        <v>78.599999999999994</v>
      </c>
      <c r="P84" s="59">
        <f>(O84/O$150)*P$150</f>
        <v>14.531860465116278</v>
      </c>
      <c r="Q84" s="60">
        <f t="shared" si="12"/>
        <v>0.18055836627906977</v>
      </c>
      <c r="R84" s="18">
        <f t="shared" si="30"/>
        <v>4.9700000000000001E-2</v>
      </c>
      <c r="S84" s="60">
        <f t="shared" si="21"/>
        <v>4.8889578837209315</v>
      </c>
      <c r="T84" s="61">
        <f t="shared" si="13"/>
        <v>19.420818348837209</v>
      </c>
      <c r="V84" s="62">
        <v>40.299999999999997</v>
      </c>
      <c r="W84" s="62">
        <f t="shared" si="14"/>
        <v>9.3457500000000007</v>
      </c>
      <c r="Y84" s="16">
        <f t="shared" ref="Y84" si="165">Y83</f>
        <v>37383</v>
      </c>
      <c r="Z84" s="63">
        <f t="shared" si="27"/>
        <v>357.71134092863571</v>
      </c>
      <c r="AA84" s="82">
        <f>AB84+$C$29-$C$28</f>
        <v>0.11</v>
      </c>
      <c r="AB84" s="72">
        <f t="shared" ref="AB84" si="166">AB83</f>
        <v>0.12</v>
      </c>
      <c r="AE84" s="17">
        <v>31291</v>
      </c>
      <c r="AF84" s="65">
        <f t="shared" si="36"/>
        <v>6.140625</v>
      </c>
      <c r="AG84" s="66">
        <f t="shared" si="37"/>
        <v>8.122047889449723</v>
      </c>
      <c r="AH84" s="66">
        <f>AG84-((AG$20*AR$3)+(AR$4*AG84)+(AL84)+(20%*S84))</f>
        <v>6.3376840373619228</v>
      </c>
      <c r="AI84" s="66">
        <f t="shared" si="38"/>
        <v>3.7383000000000002</v>
      </c>
      <c r="AJ84" s="66">
        <f t="shared" si="39"/>
        <v>4.112244897959183</v>
      </c>
      <c r="AK84" s="66">
        <f t="shared" si="40"/>
        <v>3.577113409286357</v>
      </c>
      <c r="AL84" s="24">
        <f t="shared" si="22"/>
        <v>0.44169035976562504</v>
      </c>
      <c r="AM84" s="19"/>
      <c r="AN84" s="70">
        <f t="shared" si="33"/>
        <v>45.59765625</v>
      </c>
      <c r="AO84" s="70">
        <f t="shared" si="34"/>
        <v>23.230449999999998</v>
      </c>
      <c r="BD84" s="86">
        <f t="shared" si="24"/>
        <v>4.5156781959593717E-2</v>
      </c>
      <c r="BE84" s="86">
        <f t="shared" si="25"/>
        <v>0</v>
      </c>
    </row>
    <row r="85" spans="14:57" ht="19" hidden="1" customHeight="1">
      <c r="N85" s="17">
        <v>31382</v>
      </c>
      <c r="O85" s="68">
        <f t="shared" si="26"/>
        <v>78.599999999999994</v>
      </c>
      <c r="P85" s="59">
        <f>(O85/O$150)*P$150</f>
        <v>14.531860465116278</v>
      </c>
      <c r="Q85" s="60">
        <f t="shared" si="12"/>
        <v>0.18055836627906977</v>
      </c>
      <c r="R85" s="18">
        <f t="shared" si="30"/>
        <v>4.9700000000000001E-2</v>
      </c>
      <c r="S85" s="60">
        <f t="shared" si="21"/>
        <v>5.0695162500000013</v>
      </c>
      <c r="T85" s="61">
        <f t="shared" si="13"/>
        <v>19.601376715116281</v>
      </c>
      <c r="V85" s="62">
        <v>41</v>
      </c>
      <c r="W85" s="62">
        <f t="shared" si="14"/>
        <v>11.332125</v>
      </c>
      <c r="Y85" s="16">
        <f t="shared" ref="Y85" si="167">(Y83+Y87)/2</f>
        <v>45328.5</v>
      </c>
      <c r="Z85" s="63">
        <f t="shared" si="27"/>
        <v>367.16684186370128</v>
      </c>
      <c r="AA85" s="82">
        <f>AB85+$C$29-$C$28</f>
        <v>0.11</v>
      </c>
      <c r="AB85" s="72">
        <f t="shared" si="32"/>
        <v>0.12</v>
      </c>
      <c r="AE85" s="17">
        <v>31382</v>
      </c>
      <c r="AF85" s="65">
        <f t="shared" si="36"/>
        <v>6.140625</v>
      </c>
      <c r="AG85" s="66">
        <f t="shared" si="37"/>
        <v>8.1975598308838098</v>
      </c>
      <c r="AH85" s="66">
        <f>AG85-((AG$20*AR$3)+(AR$4*AG85)+(AL85)+(20%*S85))</f>
        <v>6.3591331284687698</v>
      </c>
      <c r="AI85" s="66">
        <f t="shared" si="38"/>
        <v>4.5328499999999998</v>
      </c>
      <c r="AJ85" s="66">
        <f t="shared" si="39"/>
        <v>4.1836734693877551</v>
      </c>
      <c r="AK85" s="66">
        <f t="shared" si="40"/>
        <v>3.671668418637013</v>
      </c>
      <c r="AL85" s="24">
        <f t="shared" si="22"/>
        <v>0.45662105917968754</v>
      </c>
      <c r="AM85" s="19"/>
      <c r="AN85" s="70">
        <f t="shared" si="33"/>
        <v>45.59765625</v>
      </c>
      <c r="AO85" s="70">
        <f t="shared" si="34"/>
        <v>23.230449999999998</v>
      </c>
      <c r="BD85" s="86">
        <f t="shared" si="24"/>
        <v>3.3843736892531506E-3</v>
      </c>
      <c r="BE85" s="86">
        <f t="shared" si="25"/>
        <v>0.21254313457988916</v>
      </c>
    </row>
    <row r="86" spans="14:57" ht="19" hidden="1" customHeight="1">
      <c r="N86" s="17">
        <v>31472</v>
      </c>
      <c r="O86" s="68">
        <v>82</v>
      </c>
      <c r="P86" s="59">
        <f t="shared" ref="P86:P148" si="168">(O86/O$150)*P$150</f>
        <v>15.160465116279072</v>
      </c>
      <c r="Q86" s="60">
        <f t="shared" ref="Q86:Q149" si="169">(P86*R86)/4</f>
        <v>0.2008761627906977</v>
      </c>
      <c r="R86" s="75">
        <v>5.2999999999999999E-2</v>
      </c>
      <c r="S86" s="60">
        <f t="shared" si="21"/>
        <v>5.2703924127906987</v>
      </c>
      <c r="T86" s="61">
        <f t="shared" si="13"/>
        <v>20.430857529069769</v>
      </c>
      <c r="V86" s="62">
        <v>42.1</v>
      </c>
      <c r="W86" s="62">
        <f t="shared" si="14"/>
        <v>11.332125</v>
      </c>
      <c r="Y86" s="16">
        <f t="shared" ref="Y86" si="170">Y85</f>
        <v>45328.5</v>
      </c>
      <c r="Z86" s="63">
        <f t="shared" si="27"/>
        <v>376.87228314927665</v>
      </c>
      <c r="AA86" s="82">
        <f>AB86+$C$29-$C$28</f>
        <v>0.11</v>
      </c>
      <c r="AB86" s="72">
        <f t="shared" si="32"/>
        <v>0.12</v>
      </c>
      <c r="AE86" s="17">
        <v>31472</v>
      </c>
      <c r="AF86" s="65">
        <f t="shared" si="36"/>
        <v>6.4062500000000009</v>
      </c>
      <c r="AG86" s="66">
        <f t="shared" si="37"/>
        <v>8.5444598828434284</v>
      </c>
      <c r="AH86" s="66">
        <f>AG86-((AG$20*AR$3)+(AR$4*AG86)+(AL86)+(20%*S86))</f>
        <v>6.6364053891512391</v>
      </c>
      <c r="AI86" s="66">
        <f t="shared" si="38"/>
        <v>4.5328499999999998</v>
      </c>
      <c r="AJ86" s="66">
        <f t="shared" si="39"/>
        <v>4.295918367346939</v>
      </c>
      <c r="AK86" s="66">
        <f t="shared" si="40"/>
        <v>3.7687228314927665</v>
      </c>
      <c r="AL86" s="24">
        <f t="shared" si="22"/>
        <v>0.47219761582031256</v>
      </c>
      <c r="AM86" s="19"/>
      <c r="AN86" s="73">
        <f t="shared" ref="AN86" si="171">AN85+AF86</f>
        <v>52.00390625</v>
      </c>
      <c r="AO86" s="73">
        <f t="shared" ref="AO86" si="172">AO85+AI86</f>
        <v>27.763299999999997</v>
      </c>
      <c r="BD86" s="86">
        <f t="shared" si="24"/>
        <v>4.3602210408391739E-2</v>
      </c>
      <c r="BE86" s="86">
        <f t="shared" si="25"/>
        <v>0</v>
      </c>
    </row>
    <row r="87" spans="14:57" ht="19" hidden="1" customHeight="1">
      <c r="N87" s="17">
        <v>31564</v>
      </c>
      <c r="O87" s="68">
        <f t="shared" ref="O87:O149" si="173">O86</f>
        <v>82</v>
      </c>
      <c r="P87" s="59">
        <f t="shared" si="168"/>
        <v>15.160465116279072</v>
      </c>
      <c r="Q87" s="60">
        <f t="shared" si="169"/>
        <v>0.2008761627906977</v>
      </c>
      <c r="R87" s="18">
        <f t="shared" si="45"/>
        <v>5.2999999999999999E-2</v>
      </c>
      <c r="S87" s="60">
        <f t="shared" si="21"/>
        <v>5.4712685755813961</v>
      </c>
      <c r="T87" s="61">
        <f t="shared" ref="T87:T150" si="174">S87+P87</f>
        <v>20.631733691860468</v>
      </c>
      <c r="V87" s="62">
        <v>42.8</v>
      </c>
      <c r="W87" s="62">
        <f t="shared" ref="W87:W150" si="175">Y87/4000</f>
        <v>13.3185</v>
      </c>
      <c r="Y87" s="74">
        <v>53274</v>
      </c>
      <c r="Z87" s="63">
        <f t="shared" si="27"/>
        <v>386.83427154043926</v>
      </c>
      <c r="AA87" s="82">
        <f t="shared" ref="AA87:AA150" si="176">AB87+$C$29-$C$28</f>
        <v>0.14499999999999999</v>
      </c>
      <c r="AB87" s="72">
        <f t="shared" ref="AB87" si="177">AC87</f>
        <v>0.155</v>
      </c>
      <c r="AC87" s="64">
        <v>0.155</v>
      </c>
      <c r="AE87" s="17">
        <v>31564</v>
      </c>
      <c r="AF87" s="65">
        <f t="shared" si="36"/>
        <v>6.4062500000000009</v>
      </c>
      <c r="AG87" s="66">
        <f t="shared" si="37"/>
        <v>8.6284690005195976</v>
      </c>
      <c r="AH87" s="66">
        <f>AG87-((AG$20*AR$3)+(AR$4*AG87)+(AL87)+(20%*S87))</f>
        <v>6.6613023529215969</v>
      </c>
      <c r="AI87" s="66">
        <f t="shared" si="38"/>
        <v>5.3273999999999999</v>
      </c>
      <c r="AJ87" s="66">
        <f t="shared" si="39"/>
        <v>4.3673469387755093</v>
      </c>
      <c r="AK87" s="66">
        <f t="shared" si="40"/>
        <v>3.8683427154043928</v>
      </c>
      <c r="AL87" s="24">
        <f t="shared" si="22"/>
        <v>0.48777417246093757</v>
      </c>
      <c r="AM87" s="19"/>
      <c r="AN87" s="70">
        <f t="shared" ref="AN87:AO87" si="178">AN86</f>
        <v>52.00390625</v>
      </c>
      <c r="AO87" s="70">
        <f t="shared" si="178"/>
        <v>27.763299999999997</v>
      </c>
      <c r="BD87" s="86">
        <f t="shared" si="24"/>
        <v>3.7515736773792163E-3</v>
      </c>
      <c r="BE87" s="86">
        <f t="shared" si="25"/>
        <v>0.17528707104801611</v>
      </c>
    </row>
    <row r="88" spans="14:57" ht="19" hidden="1" customHeight="1">
      <c r="N88" s="17">
        <v>31656</v>
      </c>
      <c r="O88" s="71">
        <f>(O90+O86)/2</f>
        <v>85.75</v>
      </c>
      <c r="P88" s="59">
        <f t="shared" si="168"/>
        <v>15.853779069767441</v>
      </c>
      <c r="Q88" s="60">
        <f t="shared" si="169"/>
        <v>0.21006257267441858</v>
      </c>
      <c r="R88" s="18">
        <f t="shared" si="30"/>
        <v>5.2999999999999999E-2</v>
      </c>
      <c r="S88" s="60">
        <f t="shared" ref="S88:S151" si="179">Q88+S87</f>
        <v>5.6813311482558149</v>
      </c>
      <c r="T88" s="61">
        <f t="shared" si="174"/>
        <v>21.535110218023256</v>
      </c>
      <c r="V88" s="62">
        <v>43.9</v>
      </c>
      <c r="W88" s="62">
        <f t="shared" si="175"/>
        <v>13.3185</v>
      </c>
      <c r="Y88" s="16">
        <f t="shared" ref="Y88" si="180">Y87</f>
        <v>53274</v>
      </c>
      <c r="Z88" s="63">
        <f t="shared" si="27"/>
        <v>400.15321915335943</v>
      </c>
      <c r="AA88" s="82">
        <f t="shared" si="176"/>
        <v>0.14499999999999999</v>
      </c>
      <c r="AB88" s="72">
        <f t="shared" ref="AB88" si="181">AB87</f>
        <v>0.155</v>
      </c>
      <c r="AE88" s="17">
        <v>31656</v>
      </c>
      <c r="AF88" s="65">
        <f t="shared" si="36"/>
        <v>6.69921875</v>
      </c>
      <c r="AG88" s="66">
        <f t="shared" si="37"/>
        <v>9.0062732349193393</v>
      </c>
      <c r="AH88" s="66">
        <f>AG88-((AG$20*AR$3)+(AR$4*AG88)+(AL88)+(20%*S88))</f>
        <v>6.9656930042405438</v>
      </c>
      <c r="AI88" s="66">
        <f t="shared" si="38"/>
        <v>5.3273999999999999</v>
      </c>
      <c r="AJ88" s="66">
        <f t="shared" si="39"/>
        <v>4.4795918367346932</v>
      </c>
      <c r="AK88" s="66">
        <f t="shared" si="40"/>
        <v>4.0015321915335944</v>
      </c>
      <c r="AL88" s="24">
        <f t="shared" ref="AL88:AL151" si="182">((SUM(AR$6:AR$8)*AF88)/4)+AL87</f>
        <v>0.50406307163085939</v>
      </c>
      <c r="AM88" s="19"/>
      <c r="AN88" s="70">
        <f t="shared" si="33"/>
        <v>52.00390625</v>
      </c>
      <c r="AO88" s="70">
        <f t="shared" si="34"/>
        <v>27.763299999999997</v>
      </c>
      <c r="BD88" s="86">
        <f t="shared" ref="BD88:BD151" si="183">(AH88/AH87)-1</f>
        <v>4.5695366340103627E-2</v>
      </c>
      <c r="BE88" s="86">
        <f t="shared" ref="BE88:BE151" si="184">(AI88/AI87)-1</f>
        <v>0</v>
      </c>
    </row>
    <row r="89" spans="14:57" ht="19" customHeight="1">
      <c r="N89" s="17">
        <v>31747</v>
      </c>
      <c r="O89" s="68">
        <f t="shared" si="173"/>
        <v>85.75</v>
      </c>
      <c r="P89" s="59">
        <f t="shared" si="168"/>
        <v>15.853779069767441</v>
      </c>
      <c r="Q89" s="60">
        <f t="shared" si="169"/>
        <v>0.21006257267441858</v>
      </c>
      <c r="R89" s="18">
        <f t="shared" si="30"/>
        <v>5.2999999999999999E-2</v>
      </c>
      <c r="S89" s="60">
        <f t="shared" si="179"/>
        <v>5.8913937209302336</v>
      </c>
      <c r="T89" s="61">
        <f t="shared" si="174"/>
        <v>21.745172790697673</v>
      </c>
      <c r="V89" s="62">
        <v>45.2</v>
      </c>
      <c r="W89" s="62">
        <f t="shared" si="175"/>
        <v>16.915375000000001</v>
      </c>
      <c r="Y89" s="16">
        <f t="shared" ref="Y89" si="185">(Y87+Y91)/2</f>
        <v>67661.5</v>
      </c>
      <c r="Z89" s="63">
        <f t="shared" ref="Z89:Z152" si="186">Z88*(1+AA88)^0.25</f>
        <v>413.93074652140132</v>
      </c>
      <c r="AA89" s="82">
        <f t="shared" si="176"/>
        <v>0.14499999999999999</v>
      </c>
      <c r="AB89" s="72">
        <f t="shared" si="32"/>
        <v>0.155</v>
      </c>
      <c r="AE89" s="17">
        <v>31747</v>
      </c>
      <c r="AF89" s="65">
        <f t="shared" si="36"/>
        <v>6.69921875</v>
      </c>
      <c r="AG89" s="66">
        <f t="shared" si="37"/>
        <v>9.0941242329770375</v>
      </c>
      <c r="AH89" s="66">
        <f>AG89-((AG$20*AR$3)+(AR$4*AG89)+(AL89)+(20%*S89))</f>
        <v>6.9917285486711283</v>
      </c>
      <c r="AI89" s="66">
        <f t="shared" si="38"/>
        <v>6.7661499999999997</v>
      </c>
      <c r="AJ89" s="66">
        <f t="shared" si="39"/>
        <v>4.6122448979591839</v>
      </c>
      <c r="AK89" s="66">
        <f t="shared" si="40"/>
        <v>4.1393074652140136</v>
      </c>
      <c r="AL89" s="24">
        <f t="shared" si="182"/>
        <v>0.52035197080078122</v>
      </c>
      <c r="AM89" s="19"/>
      <c r="AN89" s="70">
        <f t="shared" si="33"/>
        <v>52.00390625</v>
      </c>
      <c r="AO89" s="70">
        <f t="shared" si="34"/>
        <v>27.763299999999997</v>
      </c>
      <c r="BD89" s="86">
        <f t="shared" si="183"/>
        <v>3.7376818666476908E-3</v>
      </c>
      <c r="BE89" s="86">
        <f t="shared" si="184"/>
        <v>0.27006607350677614</v>
      </c>
    </row>
    <row r="90" spans="14:57" ht="19" customHeight="1">
      <c r="N90" s="17">
        <v>31837</v>
      </c>
      <c r="O90" s="68">
        <v>89.5</v>
      </c>
      <c r="P90" s="59">
        <f t="shared" si="168"/>
        <v>16.547093023255815</v>
      </c>
      <c r="Q90" s="60">
        <f t="shared" si="169"/>
        <v>0.20021982558139537</v>
      </c>
      <c r="R90" s="75">
        <v>4.8399999999999999E-2</v>
      </c>
      <c r="S90" s="60">
        <f t="shared" si="179"/>
        <v>6.0916135465116286</v>
      </c>
      <c r="T90" s="61">
        <f t="shared" si="174"/>
        <v>22.638706569767443</v>
      </c>
      <c r="V90" s="62">
        <v>46</v>
      </c>
      <c r="W90" s="62">
        <f t="shared" si="175"/>
        <v>16.915375000000001</v>
      </c>
      <c r="Y90" s="16">
        <f t="shared" ref="Y90" si="187">Y89</f>
        <v>67661.5</v>
      </c>
      <c r="Z90" s="63">
        <f t="shared" si="186"/>
        <v>428.18264283436577</v>
      </c>
      <c r="AA90" s="82">
        <f t="shared" si="176"/>
        <v>0.14499999999999999</v>
      </c>
      <c r="AB90" s="72">
        <f t="shared" si="32"/>
        <v>0.155</v>
      </c>
      <c r="AE90" s="17">
        <v>31837</v>
      </c>
      <c r="AF90" s="65">
        <f t="shared" si="36"/>
        <v>6.9921875000000009</v>
      </c>
      <c r="AG90" s="66">
        <f t="shared" si="37"/>
        <v>9.4678120979315139</v>
      </c>
      <c r="AH90" s="66">
        <f>AG90-((AG$20*AR$3)+(AR$4*AG90)+(AL90)+(20%*S90))</f>
        <v>7.2934236922119275</v>
      </c>
      <c r="AI90" s="66">
        <f t="shared" si="38"/>
        <v>6.7661499999999997</v>
      </c>
      <c r="AJ90" s="66">
        <f t="shared" si="39"/>
        <v>4.6938775510204076</v>
      </c>
      <c r="AK90" s="66">
        <f t="shared" si="40"/>
        <v>4.281826428343658</v>
      </c>
      <c r="AL90" s="24">
        <f t="shared" si="182"/>
        <v>0.53735321250000001</v>
      </c>
      <c r="AM90" s="19"/>
      <c r="AN90" s="73">
        <f t="shared" ref="AN90" si="188">AN89+AF90</f>
        <v>58.99609375</v>
      </c>
      <c r="AO90" s="73">
        <f t="shared" ref="AO90" si="189">AO89+AI90</f>
        <v>34.529449999999997</v>
      </c>
      <c r="BD90" s="86">
        <f t="shared" si="183"/>
        <v>4.3150294156963698E-2</v>
      </c>
      <c r="BE90" s="86">
        <f t="shared" si="184"/>
        <v>0</v>
      </c>
    </row>
    <row r="91" spans="14:57" ht="19" hidden="1" customHeight="1">
      <c r="N91" s="17">
        <v>31929</v>
      </c>
      <c r="O91" s="68">
        <f t="shared" ref="O91" si="190">O90</f>
        <v>89.5</v>
      </c>
      <c r="P91" s="59">
        <f t="shared" si="168"/>
        <v>16.547093023255815</v>
      </c>
      <c r="Q91" s="60">
        <f t="shared" si="169"/>
        <v>0.20021982558139537</v>
      </c>
      <c r="R91" s="18">
        <f t="shared" si="45"/>
        <v>4.8399999999999999E-2</v>
      </c>
      <c r="S91" s="60">
        <f t="shared" si="179"/>
        <v>6.2918333720930235</v>
      </c>
      <c r="T91" s="61">
        <f t="shared" si="174"/>
        <v>22.838926395348839</v>
      </c>
      <c r="V91" s="62">
        <v>46.8</v>
      </c>
      <c r="W91" s="62">
        <f t="shared" si="175"/>
        <v>20.512250000000002</v>
      </c>
      <c r="Y91" s="74">
        <v>82049</v>
      </c>
      <c r="Z91" s="63">
        <f t="shared" si="186"/>
        <v>442.92524091380312</v>
      </c>
      <c r="AA91" s="82">
        <f t="shared" si="176"/>
        <v>0.14499999999999999</v>
      </c>
      <c r="AB91" s="72">
        <f t="shared" ref="AB91" si="191">AC91</f>
        <v>0.155</v>
      </c>
      <c r="AC91" s="64">
        <v>0.155</v>
      </c>
      <c r="AE91" s="17">
        <v>31929</v>
      </c>
      <c r="AF91" s="65">
        <f t="shared" si="36"/>
        <v>6.9921875000000009</v>
      </c>
      <c r="AG91" s="66">
        <f t="shared" si="37"/>
        <v>9.5515467265439433</v>
      </c>
      <c r="AH91" s="66">
        <f>AG91-((AG$20*AR$3)+(AR$4*AG91)+(AL91)+(20%*S91))</f>
        <v>7.3167637288643617</v>
      </c>
      <c r="AI91" s="66">
        <f t="shared" si="38"/>
        <v>8.2049000000000003</v>
      </c>
      <c r="AJ91" s="66">
        <f t="shared" si="39"/>
        <v>4.7755102040816322</v>
      </c>
      <c r="AK91" s="66">
        <f t="shared" si="40"/>
        <v>4.429252409138031</v>
      </c>
      <c r="AL91" s="24">
        <f t="shared" si="182"/>
        <v>0.5543544541992188</v>
      </c>
      <c r="AM91" s="19"/>
      <c r="AN91" s="70">
        <f t="shared" ref="AN91:AN153" si="192">AN90</f>
        <v>58.99609375</v>
      </c>
      <c r="AO91" s="70">
        <f t="shared" ref="AO91:AO153" si="193">AO90</f>
        <v>34.529449999999997</v>
      </c>
      <c r="BD91" s="86">
        <f t="shared" si="183"/>
        <v>3.2001481934138543E-3</v>
      </c>
      <c r="BE91" s="86">
        <f t="shared" si="184"/>
        <v>0.21263938872179899</v>
      </c>
    </row>
    <row r="92" spans="14:57" ht="19" hidden="1" customHeight="1">
      <c r="N92" s="17">
        <v>32021</v>
      </c>
      <c r="O92" s="71">
        <f>(O94+O90)/2</f>
        <v>99.25</v>
      </c>
      <c r="P92" s="59">
        <f t="shared" si="168"/>
        <v>18.349709302325582</v>
      </c>
      <c r="Q92" s="60">
        <f t="shared" si="169"/>
        <v>0.22203148255813954</v>
      </c>
      <c r="R92" s="18">
        <f t="shared" si="45"/>
        <v>4.8399999999999999E-2</v>
      </c>
      <c r="S92" s="60">
        <f t="shared" si="179"/>
        <v>6.513864854651163</v>
      </c>
      <c r="T92" s="61">
        <f t="shared" si="174"/>
        <v>24.863574156976746</v>
      </c>
      <c r="V92" s="62">
        <v>47.6</v>
      </c>
      <c r="W92" s="62">
        <f t="shared" si="175"/>
        <v>20.512250000000002</v>
      </c>
      <c r="Y92" s="16">
        <f t="shared" ref="Y92" si="194">Y91</f>
        <v>82049</v>
      </c>
      <c r="Z92" s="63">
        <f t="shared" si="186"/>
        <v>458.17543593059673</v>
      </c>
      <c r="AA92" s="82">
        <f t="shared" si="176"/>
        <v>0.14499999999999999</v>
      </c>
      <c r="AB92" s="72">
        <f t="shared" ref="AB92:AB154" si="195">AB91</f>
        <v>0.155</v>
      </c>
      <c r="AE92" s="17">
        <v>32021</v>
      </c>
      <c r="AF92" s="65">
        <f t="shared" si="36"/>
        <v>7.7539062500000009</v>
      </c>
      <c r="AG92" s="66">
        <f t="shared" si="37"/>
        <v>10.398281698461007</v>
      </c>
      <c r="AH92" s="66">
        <f>AG92-((AG$20*AR$3)+(AR$4*AG92)+(AL92)+(20%*S92))</f>
        <v>8.066369673117725</v>
      </c>
      <c r="AI92" s="66">
        <f t="shared" si="38"/>
        <v>8.2049000000000003</v>
      </c>
      <c r="AJ92" s="66">
        <f t="shared" si="39"/>
        <v>4.8571428571428568</v>
      </c>
      <c r="AK92" s="66">
        <f t="shared" si="40"/>
        <v>4.5817543593059673</v>
      </c>
      <c r="AL92" s="24">
        <f t="shared" si="182"/>
        <v>0.57320778647460946</v>
      </c>
      <c r="AM92" s="19"/>
      <c r="AN92" s="70">
        <f t="shared" si="192"/>
        <v>58.99609375</v>
      </c>
      <c r="AO92" s="70">
        <f t="shared" si="193"/>
        <v>34.529449999999997</v>
      </c>
      <c r="BD92" s="86">
        <f t="shared" si="183"/>
        <v>0.10245047838516297</v>
      </c>
      <c r="BE92" s="86">
        <f t="shared" si="184"/>
        <v>0</v>
      </c>
    </row>
    <row r="93" spans="14:57" ht="19" hidden="1" customHeight="1">
      <c r="N93" s="17">
        <v>32112</v>
      </c>
      <c r="O93" s="68">
        <f t="shared" si="173"/>
        <v>99.25</v>
      </c>
      <c r="P93" s="59">
        <f t="shared" si="168"/>
        <v>18.349709302325582</v>
      </c>
      <c r="Q93" s="60">
        <f t="shared" si="169"/>
        <v>0.22203148255813954</v>
      </c>
      <c r="R93" s="18">
        <f t="shared" si="45"/>
        <v>4.8399999999999999E-2</v>
      </c>
      <c r="S93" s="60">
        <f t="shared" si="179"/>
        <v>6.7358963372093026</v>
      </c>
      <c r="T93" s="61">
        <f t="shared" si="174"/>
        <v>25.085605639534883</v>
      </c>
      <c r="V93" s="62">
        <v>48.4</v>
      </c>
      <c r="W93" s="62">
        <f t="shared" si="175"/>
        <v>19.629750000000001</v>
      </c>
      <c r="Y93" s="16">
        <f t="shared" ref="Y93" si="196">(Y91+Y95)/2</f>
        <v>78519</v>
      </c>
      <c r="Z93" s="63">
        <f t="shared" si="186"/>
        <v>473.95070476700471</v>
      </c>
      <c r="AA93" s="82">
        <f t="shared" si="176"/>
        <v>0.14499999999999999</v>
      </c>
      <c r="AB93" s="72">
        <f t="shared" si="195"/>
        <v>0.155</v>
      </c>
      <c r="AE93" s="17">
        <v>32112</v>
      </c>
      <c r="AF93" s="65">
        <f t="shared" ref="AF93:AF156" si="197">P93/P$20</f>
        <v>7.7539062500000009</v>
      </c>
      <c r="AG93" s="66">
        <f t="shared" ref="AG93:AG156" si="198">(T93/T$20)</f>
        <v>10.491138255888757</v>
      </c>
      <c r="AH93" s="66">
        <f>AG93-((AG$20*AR$3)+(AR$4*AG93)+(AL93)+(20%*S93))</f>
        <v>8.0922523394613464</v>
      </c>
      <c r="AI93" s="66">
        <f t="shared" ref="AI93:AI156" si="199">Y93/Y$20</f>
        <v>7.8518999999999997</v>
      </c>
      <c r="AJ93" s="66">
        <f t="shared" ref="AJ93:AJ156" si="200">V93/V$20</f>
        <v>4.9387755102040813</v>
      </c>
      <c r="AK93" s="66">
        <f t="shared" ref="AK93:AK156" si="201">Z93/100</f>
        <v>4.7395070476700472</v>
      </c>
      <c r="AL93" s="24">
        <f t="shared" si="182"/>
        <v>0.59206111875000011</v>
      </c>
      <c r="AM93" s="19"/>
      <c r="AN93" s="70">
        <f t="shared" si="192"/>
        <v>58.99609375</v>
      </c>
      <c r="AO93" s="70">
        <f t="shared" si="193"/>
        <v>34.529449999999997</v>
      </c>
      <c r="BD93" s="86">
        <f t="shared" si="183"/>
        <v>3.2087131376929978E-3</v>
      </c>
      <c r="BE93" s="86">
        <f t="shared" si="184"/>
        <v>-4.3023071579178396E-2</v>
      </c>
    </row>
    <row r="94" spans="14:57" ht="19" hidden="1" customHeight="1">
      <c r="N94" s="17">
        <v>32203</v>
      </c>
      <c r="O94" s="68">
        <v>109</v>
      </c>
      <c r="P94" s="59">
        <f t="shared" si="168"/>
        <v>20.152325581395349</v>
      </c>
      <c r="Q94" s="60">
        <f t="shared" si="169"/>
        <v>0.24686598837209303</v>
      </c>
      <c r="R94" s="75">
        <v>4.9000000000000002E-2</v>
      </c>
      <c r="S94" s="60">
        <f t="shared" si="179"/>
        <v>6.9827623255813958</v>
      </c>
      <c r="T94" s="61">
        <f t="shared" si="174"/>
        <v>27.135087906976743</v>
      </c>
      <c r="V94" s="62">
        <v>49.1</v>
      </c>
      <c r="W94" s="62">
        <f t="shared" si="175"/>
        <v>19.629750000000001</v>
      </c>
      <c r="Y94" s="16">
        <f t="shared" ref="Y94" si="202">Y93</f>
        <v>78519</v>
      </c>
      <c r="Z94" s="63">
        <f t="shared" si="186"/>
        <v>490.26912604534903</v>
      </c>
      <c r="AA94" s="82">
        <f t="shared" si="176"/>
        <v>0.14499999999999999</v>
      </c>
      <c r="AB94" s="72">
        <f t="shared" si="195"/>
        <v>0.155</v>
      </c>
      <c r="AE94" s="17">
        <v>32203</v>
      </c>
      <c r="AF94" s="65">
        <f t="shared" si="197"/>
        <v>8.515625</v>
      </c>
      <c r="AG94" s="66">
        <f t="shared" si="198"/>
        <v>11.348259352731592</v>
      </c>
      <c r="AH94" s="66">
        <f>AG94-((AG$20*AR$3)+(AR$4*AG94)+(AL94)+(20%*S94))</f>
        <v>8.8450099719044868</v>
      </c>
      <c r="AI94" s="66">
        <f t="shared" si="199"/>
        <v>7.8518999999999997</v>
      </c>
      <c r="AJ94" s="66">
        <f t="shared" si="200"/>
        <v>5.0102040816326525</v>
      </c>
      <c r="AK94" s="66">
        <f t="shared" si="201"/>
        <v>4.9026912604534907</v>
      </c>
      <c r="AL94" s="24">
        <f t="shared" si="182"/>
        <v>0.61276654160156263</v>
      </c>
      <c r="AM94" s="19"/>
      <c r="AN94" s="73">
        <f t="shared" ref="AN94" si="203">AN93+AF94</f>
        <v>67.51171875</v>
      </c>
      <c r="AO94" s="73">
        <f t="shared" ref="AO94" si="204">AO93+AI94</f>
        <v>42.381349999999998</v>
      </c>
      <c r="BD94" s="86">
        <f t="shared" si="183"/>
        <v>9.3022016722386081E-2</v>
      </c>
      <c r="BE94" s="86">
        <f t="shared" si="184"/>
        <v>0</v>
      </c>
    </row>
    <row r="95" spans="14:57" ht="19" hidden="1" customHeight="1">
      <c r="N95" s="17">
        <v>32295</v>
      </c>
      <c r="O95" s="68">
        <f t="shared" ref="O95" si="205">O94</f>
        <v>109</v>
      </c>
      <c r="P95" s="59">
        <f t="shared" si="168"/>
        <v>20.152325581395349</v>
      </c>
      <c r="Q95" s="60">
        <f t="shared" si="169"/>
        <v>0.24686598837209303</v>
      </c>
      <c r="R95" s="18">
        <f t="shared" ref="R95:R157" si="206">R94</f>
        <v>4.9000000000000002E-2</v>
      </c>
      <c r="S95" s="60">
        <f t="shared" si="179"/>
        <v>7.2296283139534889</v>
      </c>
      <c r="T95" s="61">
        <f t="shared" si="174"/>
        <v>27.381953895348836</v>
      </c>
      <c r="V95" s="62">
        <v>50.1</v>
      </c>
      <c r="W95" s="62">
        <f t="shared" si="175"/>
        <v>18.747250000000001</v>
      </c>
      <c r="Y95" s="74">
        <v>74989</v>
      </c>
      <c r="Z95" s="63">
        <f t="shared" si="186"/>
        <v>507.14940084630479</v>
      </c>
      <c r="AA95" s="82">
        <f t="shared" si="176"/>
        <v>0.125</v>
      </c>
      <c r="AB95" s="72">
        <f t="shared" ref="AB95" si="207">AC95</f>
        <v>0.13500000000000001</v>
      </c>
      <c r="AC95" s="64">
        <v>0.13500000000000001</v>
      </c>
      <c r="AE95" s="17">
        <v>32295</v>
      </c>
      <c r="AF95" s="65">
        <f t="shared" si="197"/>
        <v>8.515625</v>
      </c>
      <c r="AG95" s="66">
        <f t="shared" si="198"/>
        <v>11.451502035085115</v>
      </c>
      <c r="AH95" s="66">
        <f>AG95-((AG$20*AR$3)+(AR$4*AG95)+(AL95)+(20%*S95))</f>
        <v>8.8740443264378879</v>
      </c>
      <c r="AI95" s="66">
        <f t="shared" si="199"/>
        <v>7.4988999999999999</v>
      </c>
      <c r="AJ95" s="66">
        <f t="shared" si="200"/>
        <v>5.112244897959183</v>
      </c>
      <c r="AK95" s="66">
        <f t="shared" si="201"/>
        <v>5.0714940084630475</v>
      </c>
      <c r="AL95" s="24">
        <f t="shared" si="182"/>
        <v>0.63347196445312515</v>
      </c>
      <c r="AM95" s="19"/>
      <c r="AN95" s="70">
        <f t="shared" ref="AN95:AO95" si="208">AN94</f>
        <v>67.51171875</v>
      </c>
      <c r="AO95" s="70">
        <f t="shared" si="208"/>
        <v>42.381349999999998</v>
      </c>
      <c r="BD95" s="86">
        <f t="shared" si="183"/>
        <v>3.2825688863693525E-3</v>
      </c>
      <c r="BE95" s="86">
        <f t="shared" si="184"/>
        <v>-4.495727148842954E-2</v>
      </c>
    </row>
    <row r="96" spans="14:57" ht="19" hidden="1" customHeight="1">
      <c r="N96" s="17">
        <v>32387</v>
      </c>
      <c r="O96" s="71">
        <f>(O98+O94)/2</f>
        <v>120.5</v>
      </c>
      <c r="P96" s="59">
        <f t="shared" si="168"/>
        <v>22.278488372093026</v>
      </c>
      <c r="Q96" s="60">
        <f t="shared" si="169"/>
        <v>0.27291148255813957</v>
      </c>
      <c r="R96" s="18">
        <f t="shared" si="206"/>
        <v>4.9000000000000002E-2</v>
      </c>
      <c r="S96" s="60">
        <f t="shared" si="179"/>
        <v>7.5025397965116287</v>
      </c>
      <c r="T96" s="61">
        <f t="shared" si="174"/>
        <v>29.781028168604657</v>
      </c>
      <c r="V96" s="62">
        <v>50.8</v>
      </c>
      <c r="W96" s="62">
        <f t="shared" si="175"/>
        <v>18.747250000000001</v>
      </c>
      <c r="Y96" s="16">
        <f t="shared" ref="Y96" si="209">Y95</f>
        <v>74989</v>
      </c>
      <c r="Z96" s="63">
        <f t="shared" si="186"/>
        <v>522.30483645769959</v>
      </c>
      <c r="AA96" s="82">
        <f t="shared" si="176"/>
        <v>0.125</v>
      </c>
      <c r="AB96" s="72">
        <f t="shared" ref="AB96" si="210">AB95</f>
        <v>0.13500000000000001</v>
      </c>
      <c r="AE96" s="17">
        <v>32387</v>
      </c>
      <c r="AF96" s="65">
        <f t="shared" si="197"/>
        <v>9.4140625000000018</v>
      </c>
      <c r="AG96" s="66">
        <f t="shared" si="198"/>
        <v>12.454827218799489</v>
      </c>
      <c r="AH96" s="66">
        <f>AG96-((AG$20*AR$3)+(AR$4*AG96)+(AL96)+(20%*S96))</f>
        <v>9.7597642663506523</v>
      </c>
      <c r="AI96" s="66">
        <f t="shared" si="199"/>
        <v>7.4988999999999999</v>
      </c>
      <c r="AJ96" s="66">
        <f t="shared" si="200"/>
        <v>5.1836734693877542</v>
      </c>
      <c r="AK96" s="66">
        <f t="shared" si="201"/>
        <v>5.2230483645769956</v>
      </c>
      <c r="AL96" s="24">
        <f t="shared" si="182"/>
        <v>0.65636190439453135</v>
      </c>
      <c r="AM96" s="19"/>
      <c r="AN96" s="70">
        <f t="shared" si="192"/>
        <v>67.51171875</v>
      </c>
      <c r="AO96" s="70">
        <f t="shared" si="193"/>
        <v>42.381349999999998</v>
      </c>
      <c r="BD96" s="86">
        <f t="shared" si="183"/>
        <v>9.981017756176791E-2</v>
      </c>
      <c r="BE96" s="86">
        <f t="shared" si="184"/>
        <v>0</v>
      </c>
    </row>
    <row r="97" spans="8:61" ht="19" hidden="1" customHeight="1">
      <c r="N97" s="17">
        <v>32478</v>
      </c>
      <c r="O97" s="68">
        <f t="shared" si="173"/>
        <v>120.5</v>
      </c>
      <c r="P97" s="59">
        <f t="shared" si="168"/>
        <v>22.278488372093026</v>
      </c>
      <c r="Q97" s="60">
        <f t="shared" si="169"/>
        <v>0.27291148255813957</v>
      </c>
      <c r="R97" s="18">
        <f t="shared" si="206"/>
        <v>4.9000000000000002E-2</v>
      </c>
      <c r="S97" s="60">
        <f t="shared" si="179"/>
        <v>7.7754512790697685</v>
      </c>
      <c r="T97" s="61">
        <f t="shared" si="174"/>
        <v>30.053939651162793</v>
      </c>
      <c r="V97" s="62">
        <v>51.7</v>
      </c>
      <c r="W97" s="62">
        <f t="shared" si="175"/>
        <v>19.077124999999999</v>
      </c>
      <c r="Y97" s="16">
        <f t="shared" ref="Y97" si="211">(Y95+Y99)/2</f>
        <v>76308.5</v>
      </c>
      <c r="Z97" s="63">
        <f t="shared" si="186"/>
        <v>537.91317061967504</v>
      </c>
      <c r="AA97" s="82">
        <f t="shared" si="176"/>
        <v>0.125</v>
      </c>
      <c r="AB97" s="72">
        <f t="shared" si="195"/>
        <v>0.13500000000000001</v>
      </c>
      <c r="AE97" s="17">
        <v>32478</v>
      </c>
      <c r="AF97" s="65">
        <f t="shared" si="197"/>
        <v>9.4140625000000018</v>
      </c>
      <c r="AG97" s="66">
        <f t="shared" si="198"/>
        <v>12.568962477731592</v>
      </c>
      <c r="AH97" s="66">
        <f>AG97-((AG$20*AR$3)+(AR$4*AG97)+(AL97)+(20%*S97))</f>
        <v>9.7918618784724369</v>
      </c>
      <c r="AI97" s="66">
        <f t="shared" si="199"/>
        <v>7.6308499999999997</v>
      </c>
      <c r="AJ97" s="66">
        <f t="shared" si="200"/>
        <v>5.2755102040816322</v>
      </c>
      <c r="AK97" s="66">
        <f t="shared" si="201"/>
        <v>5.3791317061967501</v>
      </c>
      <c r="AL97" s="24">
        <f t="shared" si="182"/>
        <v>0.67925184433593755</v>
      </c>
      <c r="AM97" s="19"/>
      <c r="AN97" s="70">
        <f t="shared" si="192"/>
        <v>67.51171875</v>
      </c>
      <c r="AO97" s="70">
        <f t="shared" si="193"/>
        <v>42.381349999999998</v>
      </c>
      <c r="BD97" s="86">
        <f t="shared" si="183"/>
        <v>3.2887692003431557E-3</v>
      </c>
      <c r="BE97" s="86">
        <f t="shared" si="184"/>
        <v>1.7595914067396468E-2</v>
      </c>
    </row>
    <row r="98" spans="8:61" ht="19" hidden="1" customHeight="1">
      <c r="N98" s="17">
        <v>32568</v>
      </c>
      <c r="O98" s="68">
        <v>132</v>
      </c>
      <c r="P98" s="59">
        <f t="shared" si="168"/>
        <v>24.404651162790699</v>
      </c>
      <c r="Q98" s="60">
        <f t="shared" si="169"/>
        <v>0.25258813953488374</v>
      </c>
      <c r="R98" s="75">
        <v>4.1399999999999999E-2</v>
      </c>
      <c r="S98" s="60">
        <f t="shared" si="179"/>
        <v>8.0280394186046529</v>
      </c>
      <c r="T98" s="61">
        <f t="shared" si="174"/>
        <v>32.432690581395349</v>
      </c>
      <c r="V98" s="62">
        <v>52.4</v>
      </c>
      <c r="W98" s="62">
        <f t="shared" si="175"/>
        <v>19.077124999999999</v>
      </c>
      <c r="Y98" s="16">
        <f t="shared" ref="Y98" si="212">Y97</f>
        <v>76308.5</v>
      </c>
      <c r="Z98" s="63">
        <f t="shared" si="186"/>
        <v>553.98793755865506</v>
      </c>
      <c r="AA98" s="82">
        <f t="shared" si="176"/>
        <v>0.125</v>
      </c>
      <c r="AB98" s="72">
        <f t="shared" si="195"/>
        <v>0.13500000000000001</v>
      </c>
      <c r="AE98" s="17">
        <v>32568</v>
      </c>
      <c r="AF98" s="65">
        <f t="shared" si="197"/>
        <v>10.312500000000002</v>
      </c>
      <c r="AG98" s="66">
        <f t="shared" si="198"/>
        <v>13.563788165577989</v>
      </c>
      <c r="AH98" s="66">
        <f>AG98-((AG$20*AR$3)+(AR$4*AG98)+(AL98)+(20%*S98))</f>
        <v>10.671302453866751</v>
      </c>
      <c r="AI98" s="66">
        <f t="shared" si="199"/>
        <v>7.6308499999999997</v>
      </c>
      <c r="AJ98" s="66">
        <f t="shared" si="200"/>
        <v>5.3469387755102034</v>
      </c>
      <c r="AK98" s="66">
        <f t="shared" si="201"/>
        <v>5.5398793755865503</v>
      </c>
      <c r="AL98" s="24">
        <f t="shared" si="182"/>
        <v>0.70432630136718755</v>
      </c>
      <c r="AM98" s="19"/>
      <c r="AN98" s="73">
        <f t="shared" ref="AN98" si="213">AN97+AF98</f>
        <v>77.82421875</v>
      </c>
      <c r="AO98" s="73">
        <f t="shared" ref="AO98" si="214">AO97+AI98</f>
        <v>50.0122</v>
      </c>
      <c r="BD98" s="86">
        <f t="shared" si="183"/>
        <v>8.9813417132422746E-2</v>
      </c>
      <c r="BE98" s="86">
        <f t="shared" si="184"/>
        <v>0</v>
      </c>
    </row>
    <row r="99" spans="8:61" ht="19" hidden="1" customHeight="1">
      <c r="N99" s="17">
        <v>32660</v>
      </c>
      <c r="O99" s="68">
        <f t="shared" ref="O99" si="215">O98</f>
        <v>132</v>
      </c>
      <c r="P99" s="59">
        <f t="shared" si="168"/>
        <v>24.404651162790699</v>
      </c>
      <c r="Q99" s="60">
        <f t="shared" si="169"/>
        <v>0.25258813953488374</v>
      </c>
      <c r="R99" s="18">
        <f t="shared" si="206"/>
        <v>4.1399999999999999E-2</v>
      </c>
      <c r="S99" s="60">
        <f t="shared" si="179"/>
        <v>8.2806275581395372</v>
      </c>
      <c r="T99" s="61">
        <f t="shared" si="174"/>
        <v>32.685278720930235</v>
      </c>
      <c r="V99" s="62">
        <v>53.8</v>
      </c>
      <c r="W99" s="62">
        <f t="shared" si="175"/>
        <v>19.407</v>
      </c>
      <c r="Y99" s="74">
        <v>77628</v>
      </c>
      <c r="Z99" s="63">
        <f t="shared" si="186"/>
        <v>570.54307595209275</v>
      </c>
      <c r="AA99" s="82">
        <f t="shared" si="176"/>
        <v>0.16</v>
      </c>
      <c r="AB99" s="72">
        <f t="shared" ref="AB99" si="216">AC99</f>
        <v>0.17</v>
      </c>
      <c r="AC99" s="64">
        <v>0.17</v>
      </c>
      <c r="AE99" s="17">
        <v>32660</v>
      </c>
      <c r="AF99" s="65">
        <f t="shared" si="197"/>
        <v>10.312500000000002</v>
      </c>
      <c r="AG99" s="66">
        <f t="shared" si="198"/>
        <v>13.669423928642123</v>
      </c>
      <c r="AH99" s="66">
        <f>AG99-((AG$20*AR$3)+(AR$4*AG99)+(AL99)+(20%*S99))</f>
        <v>10.697120701470094</v>
      </c>
      <c r="AI99" s="66">
        <f t="shared" si="199"/>
        <v>7.7628000000000004</v>
      </c>
      <c r="AJ99" s="66">
        <f t="shared" si="200"/>
        <v>5.4897959183673466</v>
      </c>
      <c r="AK99" s="66">
        <f t="shared" si="201"/>
        <v>5.7054307595209277</v>
      </c>
      <c r="AL99" s="24">
        <f t="shared" si="182"/>
        <v>0.72940075839843754</v>
      </c>
      <c r="AM99" s="19"/>
      <c r="AN99" s="70">
        <f t="shared" ref="AN99:AO99" si="217">AN98</f>
        <v>77.82421875</v>
      </c>
      <c r="AO99" s="70">
        <f t="shared" si="217"/>
        <v>50.0122</v>
      </c>
      <c r="BD99" s="86">
        <f t="shared" si="183"/>
        <v>2.4194092253460031E-3</v>
      </c>
      <c r="BE99" s="86">
        <f t="shared" si="184"/>
        <v>1.729165165086477E-2</v>
      </c>
    </row>
    <row r="100" spans="8:61" ht="19" hidden="1" customHeight="1">
      <c r="N100" s="17">
        <v>32752</v>
      </c>
      <c r="O100" s="71">
        <f>(O102+O98)/2</f>
        <v>131.5</v>
      </c>
      <c r="P100" s="59">
        <f t="shared" si="168"/>
        <v>24.312209302325584</v>
      </c>
      <c r="Q100" s="60">
        <f t="shared" si="169"/>
        <v>0.25163136627906979</v>
      </c>
      <c r="R100" s="18">
        <f t="shared" si="206"/>
        <v>4.1399999999999999E-2</v>
      </c>
      <c r="S100" s="60">
        <f t="shared" si="179"/>
        <v>8.5322589244186062</v>
      </c>
      <c r="T100" s="61">
        <f t="shared" si="174"/>
        <v>32.844468226744191</v>
      </c>
      <c r="V100" s="62">
        <v>55</v>
      </c>
      <c r="W100" s="62">
        <f t="shared" si="175"/>
        <v>19.407</v>
      </c>
      <c r="Y100" s="16">
        <f t="shared" ref="Y100" si="218">Y99</f>
        <v>77628</v>
      </c>
      <c r="Z100" s="63">
        <f t="shared" si="186"/>
        <v>592.11073712408961</v>
      </c>
      <c r="AA100" s="82">
        <f t="shared" si="176"/>
        <v>0.16</v>
      </c>
      <c r="AB100" s="72">
        <f t="shared" ref="AB100" si="219">AB99</f>
        <v>0.17</v>
      </c>
      <c r="AE100" s="17">
        <v>32752</v>
      </c>
      <c r="AF100" s="65">
        <f t="shared" si="197"/>
        <v>10.273437500000002</v>
      </c>
      <c r="AG100" s="66">
        <f t="shared" si="198"/>
        <v>13.735999124727833</v>
      </c>
      <c r="AH100" s="66">
        <f>AG100-((AG$20*AR$3)+(AR$4*AG100)+(AL100)+(20%*S100))</f>
        <v>10.685727138429218</v>
      </c>
      <c r="AI100" s="66">
        <f t="shared" si="199"/>
        <v>7.7628000000000004</v>
      </c>
      <c r="AJ100" s="66">
        <f t="shared" si="200"/>
        <v>5.612244897959183</v>
      </c>
      <c r="AK100" s="66">
        <f t="shared" si="201"/>
        <v>5.9211073712408959</v>
      </c>
      <c r="AL100" s="24">
        <f t="shared" si="182"/>
        <v>0.75438023642578134</v>
      </c>
      <c r="AM100" s="19"/>
      <c r="AN100" s="70">
        <f t="shared" si="192"/>
        <v>77.82421875</v>
      </c>
      <c r="AO100" s="70">
        <f t="shared" si="193"/>
        <v>50.0122</v>
      </c>
      <c r="BD100" s="86">
        <f t="shared" si="183"/>
        <v>-1.0651055885824157E-3</v>
      </c>
      <c r="BE100" s="86">
        <f t="shared" si="184"/>
        <v>0</v>
      </c>
    </row>
    <row r="101" spans="8:61" ht="19" hidden="1" customHeight="1">
      <c r="N101" s="17">
        <v>32843</v>
      </c>
      <c r="O101" s="68">
        <f t="shared" si="173"/>
        <v>131.5</v>
      </c>
      <c r="P101" s="59">
        <f t="shared" si="168"/>
        <v>24.312209302325584</v>
      </c>
      <c r="Q101" s="60">
        <f t="shared" si="169"/>
        <v>0.25163136627906979</v>
      </c>
      <c r="R101" s="18">
        <f t="shared" si="206"/>
        <v>4.1399999999999999E-2</v>
      </c>
      <c r="S101" s="60">
        <f t="shared" si="179"/>
        <v>8.7838902906976752</v>
      </c>
      <c r="T101" s="61">
        <f t="shared" si="174"/>
        <v>33.096099593023261</v>
      </c>
      <c r="V101" s="62">
        <v>56</v>
      </c>
      <c r="W101" s="62">
        <f t="shared" si="175"/>
        <v>19.803750000000001</v>
      </c>
      <c r="Y101" s="16">
        <f t="shared" ref="Y101" si="220">(Y99+Y103)/2</f>
        <v>79215</v>
      </c>
      <c r="Z101" s="63">
        <f t="shared" si="186"/>
        <v>614.49369871429565</v>
      </c>
      <c r="AA101" s="82">
        <f t="shared" si="176"/>
        <v>0.16</v>
      </c>
      <c r="AB101" s="72">
        <f t="shared" si="195"/>
        <v>0.17</v>
      </c>
      <c r="AE101" s="17">
        <v>32843</v>
      </c>
      <c r="AF101" s="65">
        <f t="shared" si="197"/>
        <v>10.273437500000002</v>
      </c>
      <c r="AG101" s="66">
        <f t="shared" si="198"/>
        <v>13.841234752325814</v>
      </c>
      <c r="AH101" s="66">
        <f>AG101-((AG$20*AR$3)+(AR$4*AG101)+(AL101)+(20%*S101))</f>
        <v>10.711447589640121</v>
      </c>
      <c r="AI101" s="66">
        <f t="shared" si="199"/>
        <v>7.9215</v>
      </c>
      <c r="AJ101" s="66">
        <f t="shared" si="200"/>
        <v>5.7142857142857135</v>
      </c>
      <c r="AK101" s="66">
        <f t="shared" si="201"/>
        <v>6.1449369871429562</v>
      </c>
      <c r="AL101" s="24">
        <f t="shared" si="182"/>
        <v>0.77935971445312513</v>
      </c>
      <c r="AM101" s="19"/>
      <c r="AN101" s="70">
        <f t="shared" si="192"/>
        <v>77.82421875</v>
      </c>
      <c r="AO101" s="70">
        <f t="shared" si="193"/>
        <v>50.0122</v>
      </c>
      <c r="BD101" s="86">
        <f t="shared" si="183"/>
        <v>2.4069912021620343E-3</v>
      </c>
      <c r="BE101" s="86">
        <f t="shared" si="184"/>
        <v>2.0443654351522511E-2</v>
      </c>
    </row>
    <row r="102" spans="8:61" ht="19" hidden="1" customHeight="1">
      <c r="N102" s="17">
        <v>32933</v>
      </c>
      <c r="O102" s="68">
        <v>131</v>
      </c>
      <c r="P102" s="59">
        <f t="shared" si="168"/>
        <v>24.219767441860466</v>
      </c>
      <c r="Q102" s="60">
        <f t="shared" si="169"/>
        <v>0.26217898255813954</v>
      </c>
      <c r="R102" s="75">
        <v>4.3299999999999998E-2</v>
      </c>
      <c r="S102" s="60">
        <f t="shared" si="179"/>
        <v>9.0460692732558154</v>
      </c>
      <c r="T102" s="61">
        <f t="shared" si="174"/>
        <v>33.265836715116279</v>
      </c>
      <c r="V102" s="62">
        <v>56.9</v>
      </c>
      <c r="W102" s="62">
        <f t="shared" si="175"/>
        <v>19.803750000000001</v>
      </c>
      <c r="Y102" s="16">
        <f t="shared" ref="Y102" si="221">Y101</f>
        <v>79215</v>
      </c>
      <c r="Z102" s="63">
        <f t="shared" si="186"/>
        <v>637.72278069742345</v>
      </c>
      <c r="AA102" s="82">
        <f t="shared" si="176"/>
        <v>0.16</v>
      </c>
      <c r="AB102" s="72">
        <f t="shared" si="195"/>
        <v>0.17</v>
      </c>
      <c r="AE102" s="17">
        <v>32933</v>
      </c>
      <c r="AF102" s="65">
        <f t="shared" si="197"/>
        <v>10.234375</v>
      </c>
      <c r="AG102" s="66">
        <f t="shared" si="198"/>
        <v>13.91222110364707</v>
      </c>
      <c r="AH102" s="66">
        <f>AG102-((AG$20*AR$3)+(AR$4*AG102)+(AL102)+(20%*S102))</f>
        <v>10.702274191373462</v>
      </c>
      <c r="AI102" s="66">
        <f t="shared" si="199"/>
        <v>7.9215</v>
      </c>
      <c r="AJ102" s="66">
        <f t="shared" si="200"/>
        <v>5.8061224489795915</v>
      </c>
      <c r="AK102" s="66">
        <f t="shared" si="201"/>
        <v>6.3772278069742345</v>
      </c>
      <c r="AL102" s="24">
        <f t="shared" si="182"/>
        <v>0.80424421347656261</v>
      </c>
      <c r="AM102" s="19"/>
      <c r="AN102" s="73">
        <f t="shared" ref="AN102" si="222">AN101+AF102</f>
        <v>88.05859375</v>
      </c>
      <c r="AO102" s="73">
        <f t="shared" ref="AO102" si="223">AO101+AI102</f>
        <v>57.933700000000002</v>
      </c>
      <c r="BD102" s="86">
        <f t="shared" si="183"/>
        <v>-8.5641069424935434E-4</v>
      </c>
      <c r="BE102" s="86">
        <f t="shared" si="184"/>
        <v>0</v>
      </c>
    </row>
    <row r="103" spans="8:61" s="6" customFormat="1" ht="19" hidden="1" customHeight="1">
      <c r="H103" s="16"/>
      <c r="I103" s="16"/>
      <c r="J103" s="16"/>
      <c r="K103" s="16"/>
      <c r="L103" s="16"/>
      <c r="M103" s="16"/>
      <c r="N103" s="17">
        <v>33025</v>
      </c>
      <c r="O103" s="68">
        <f t="shared" ref="O103" si="224">O102</f>
        <v>131</v>
      </c>
      <c r="P103" s="59">
        <f t="shared" si="168"/>
        <v>24.219767441860466</v>
      </c>
      <c r="Q103" s="60">
        <f t="shared" si="169"/>
        <v>0.26217898255813954</v>
      </c>
      <c r="R103" s="18">
        <f t="shared" si="206"/>
        <v>4.3299999999999998E-2</v>
      </c>
      <c r="S103" s="60">
        <f t="shared" si="179"/>
        <v>9.3082482558139557</v>
      </c>
      <c r="T103" s="61">
        <f t="shared" si="174"/>
        <v>33.528015697674419</v>
      </c>
      <c r="U103" s="16"/>
      <c r="V103" s="62">
        <v>58</v>
      </c>
      <c r="W103" s="62">
        <f t="shared" si="175"/>
        <v>20.200500000000002</v>
      </c>
      <c r="X103" s="16"/>
      <c r="Y103" s="74">
        <v>80802</v>
      </c>
      <c r="Z103" s="63">
        <f t="shared" si="186"/>
        <v>661.82996810442762</v>
      </c>
      <c r="AA103" s="82">
        <f t="shared" si="176"/>
        <v>0.155</v>
      </c>
      <c r="AB103" s="72">
        <f t="shared" ref="AB103" si="225">AC103</f>
        <v>0.16500000000000001</v>
      </c>
      <c r="AC103" s="64">
        <v>0.16500000000000001</v>
      </c>
      <c r="AD103" s="16"/>
      <c r="AE103" s="17">
        <v>33025</v>
      </c>
      <c r="AF103" s="65">
        <f t="shared" si="197"/>
        <v>10.234375</v>
      </c>
      <c r="AG103" s="66">
        <f t="shared" si="198"/>
        <v>14.021867886480603</v>
      </c>
      <c r="AH103" s="66">
        <f>AG103-((AG$20*AR$3)+(AR$4*AG103)+(AL103)+(20%*S103))</f>
        <v>10.730214807358587</v>
      </c>
      <c r="AI103" s="66">
        <f t="shared" si="199"/>
        <v>8.0801999999999996</v>
      </c>
      <c r="AJ103" s="66">
        <f t="shared" si="200"/>
        <v>5.9183673469387754</v>
      </c>
      <c r="AK103" s="66">
        <f t="shared" si="201"/>
        <v>6.6182996810442765</v>
      </c>
      <c r="AL103" s="24">
        <f t="shared" si="182"/>
        <v>0.82912871250000009</v>
      </c>
      <c r="AM103" s="19"/>
      <c r="AN103" s="70">
        <f t="shared" ref="AN103:AO103" si="226">AN102</f>
        <v>88.05859375</v>
      </c>
      <c r="AO103" s="70">
        <f t="shared" si="226"/>
        <v>57.933700000000002</v>
      </c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86">
        <f t="shared" si="183"/>
        <v>2.6107176367846652E-3</v>
      </c>
      <c r="BE103" s="86">
        <f t="shared" si="184"/>
        <v>2.0034084453701917E-2</v>
      </c>
      <c r="BF103" s="16"/>
      <c r="BG103" s="16"/>
      <c r="BH103" s="16"/>
      <c r="BI103" s="16"/>
    </row>
    <row r="104" spans="8:61" s="6" customFormat="1" ht="19" hidden="1" customHeight="1">
      <c r="H104" s="16"/>
      <c r="I104" s="16"/>
      <c r="J104" s="16"/>
      <c r="K104" s="16"/>
      <c r="L104" s="16"/>
      <c r="M104" s="16"/>
      <c r="N104" s="17">
        <v>33117</v>
      </c>
      <c r="O104" s="71">
        <f>(O106+O102)/2</f>
        <v>129</v>
      </c>
      <c r="P104" s="59">
        <f t="shared" si="168"/>
        <v>23.85</v>
      </c>
      <c r="Q104" s="60">
        <f t="shared" si="169"/>
        <v>0.25817625</v>
      </c>
      <c r="R104" s="18">
        <f t="shared" si="206"/>
        <v>4.3299999999999998E-2</v>
      </c>
      <c r="S104" s="60">
        <f t="shared" si="179"/>
        <v>9.5664245058139556</v>
      </c>
      <c r="T104" s="61">
        <f t="shared" si="174"/>
        <v>33.416424505813957</v>
      </c>
      <c r="U104" s="16"/>
      <c r="V104" s="62">
        <v>58.5</v>
      </c>
      <c r="W104" s="62">
        <f t="shared" si="175"/>
        <v>20.200500000000002</v>
      </c>
      <c r="X104" s="16"/>
      <c r="Y104" s="16">
        <f t="shared" ref="Y104" si="227">Y103</f>
        <v>80802</v>
      </c>
      <c r="Z104" s="63">
        <f t="shared" si="186"/>
        <v>686.10711728111494</v>
      </c>
      <c r="AA104" s="82">
        <f t="shared" si="176"/>
        <v>0.155</v>
      </c>
      <c r="AB104" s="72">
        <f t="shared" ref="AB104" si="228">AB103</f>
        <v>0.16500000000000001</v>
      </c>
      <c r="AC104" s="18"/>
      <c r="AD104" s="16"/>
      <c r="AE104" s="17">
        <v>33117</v>
      </c>
      <c r="AF104" s="65">
        <f t="shared" si="197"/>
        <v>10.078125000000002</v>
      </c>
      <c r="AG104" s="66">
        <f t="shared" si="198"/>
        <v>13.975198946580564</v>
      </c>
      <c r="AH104" s="66">
        <f>AG104-((AG$20*AR$3)+(AR$4*AG104)+(AL104)+(20%*S104))</f>
        <v>10.609272792046738</v>
      </c>
      <c r="AI104" s="66">
        <f t="shared" si="199"/>
        <v>8.0801999999999996</v>
      </c>
      <c r="AJ104" s="66">
        <f t="shared" si="200"/>
        <v>5.9693877551020407</v>
      </c>
      <c r="AK104" s="66">
        <f t="shared" si="201"/>
        <v>6.8610711728111493</v>
      </c>
      <c r="AL104" s="24">
        <f t="shared" si="182"/>
        <v>0.85363329550781264</v>
      </c>
      <c r="AM104" s="19"/>
      <c r="AN104" s="70">
        <f t="shared" si="192"/>
        <v>88.05859375</v>
      </c>
      <c r="AO104" s="70">
        <f t="shared" si="193"/>
        <v>57.933700000000002</v>
      </c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86">
        <f t="shared" si="183"/>
        <v>-1.1271164415917245E-2</v>
      </c>
      <c r="BE104" s="86">
        <f t="shared" si="184"/>
        <v>0</v>
      </c>
      <c r="BF104" s="16"/>
      <c r="BG104" s="16"/>
      <c r="BH104" s="16"/>
      <c r="BI104" s="16"/>
    </row>
    <row r="105" spans="8:61" s="6" customFormat="1" ht="19" hidden="1" customHeight="1">
      <c r="H105" s="16"/>
      <c r="I105" s="16"/>
      <c r="J105" s="16"/>
      <c r="K105" s="16"/>
      <c r="L105" s="16"/>
      <c r="M105" s="16"/>
      <c r="N105" s="17">
        <v>33208</v>
      </c>
      <c r="O105" s="68">
        <f t="shared" si="173"/>
        <v>129</v>
      </c>
      <c r="P105" s="59">
        <f t="shared" si="168"/>
        <v>23.85</v>
      </c>
      <c r="Q105" s="60">
        <f t="shared" si="169"/>
        <v>0.25817625</v>
      </c>
      <c r="R105" s="18">
        <f t="shared" si="206"/>
        <v>4.3299999999999998E-2</v>
      </c>
      <c r="S105" s="60">
        <f t="shared" si="179"/>
        <v>9.8246007558139556</v>
      </c>
      <c r="T105" s="61">
        <f t="shared" si="174"/>
        <v>33.674600755813955</v>
      </c>
      <c r="U105" s="16"/>
      <c r="V105" s="62">
        <v>60.2</v>
      </c>
      <c r="W105" s="62">
        <f t="shared" si="175"/>
        <v>20.792000000000002</v>
      </c>
      <c r="X105" s="16"/>
      <c r="Y105" s="16">
        <f t="shared" ref="Y105" si="229">(Y103+Y107)/2</f>
        <v>83168</v>
      </c>
      <c r="Z105" s="63">
        <f t="shared" si="186"/>
        <v>711.27479725959597</v>
      </c>
      <c r="AA105" s="82">
        <f t="shared" si="176"/>
        <v>0.155</v>
      </c>
      <c r="AB105" s="72">
        <f t="shared" si="195"/>
        <v>0.16500000000000001</v>
      </c>
      <c r="AC105" s="18"/>
      <c r="AD105" s="16"/>
      <c r="AE105" s="17">
        <v>33208</v>
      </c>
      <c r="AF105" s="65">
        <f t="shared" si="197"/>
        <v>10.078125000000002</v>
      </c>
      <c r="AG105" s="66">
        <f t="shared" si="198"/>
        <v>14.083171732729614</v>
      </c>
      <c r="AH105" s="66">
        <f>AG105-((AG$20*AR$3)+(AR$4*AG105)+(AL105)+(20%*S105))</f>
        <v>10.636786833742013</v>
      </c>
      <c r="AI105" s="66">
        <f t="shared" si="199"/>
        <v>8.3168000000000006</v>
      </c>
      <c r="AJ105" s="66">
        <f t="shared" si="200"/>
        <v>6.1428571428571423</v>
      </c>
      <c r="AK105" s="66">
        <f t="shared" si="201"/>
        <v>7.1127479725959599</v>
      </c>
      <c r="AL105" s="24">
        <f t="shared" si="182"/>
        <v>0.87813787851562519</v>
      </c>
      <c r="AM105" s="19"/>
      <c r="AN105" s="70">
        <f t="shared" si="192"/>
        <v>88.05859375</v>
      </c>
      <c r="AO105" s="70">
        <f t="shared" si="193"/>
        <v>57.933700000000002</v>
      </c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86">
        <f t="shared" si="183"/>
        <v>2.5933956298966887E-3</v>
      </c>
      <c r="BE105" s="86">
        <f t="shared" si="184"/>
        <v>2.9281453429370607E-2</v>
      </c>
      <c r="BF105" s="16"/>
      <c r="BG105" s="16"/>
      <c r="BH105" s="16"/>
      <c r="BI105" s="16"/>
    </row>
    <row r="106" spans="8:61" s="6" customFormat="1" ht="19" hidden="1" customHeight="1">
      <c r="H106" s="16"/>
      <c r="I106" s="16"/>
      <c r="J106" s="16"/>
      <c r="K106" s="16"/>
      <c r="L106" s="16"/>
      <c r="M106" s="16"/>
      <c r="N106" s="17">
        <v>33298</v>
      </c>
      <c r="O106" s="68">
        <v>127</v>
      </c>
      <c r="P106" s="59">
        <f t="shared" si="168"/>
        <v>23.480232558139537</v>
      </c>
      <c r="Q106" s="60">
        <f t="shared" si="169"/>
        <v>0.2629786046511628</v>
      </c>
      <c r="R106" s="75">
        <v>4.48E-2</v>
      </c>
      <c r="S106" s="60">
        <f t="shared" si="179"/>
        <v>10.087579360465119</v>
      </c>
      <c r="T106" s="61">
        <f t="shared" si="174"/>
        <v>33.567811918604654</v>
      </c>
      <c r="U106" s="16"/>
      <c r="V106" s="62">
        <v>59.9</v>
      </c>
      <c r="W106" s="62">
        <f t="shared" si="175"/>
        <v>20.792000000000002</v>
      </c>
      <c r="X106" s="16"/>
      <c r="Y106" s="16">
        <f t="shared" ref="Y106" si="230">Y105</f>
        <v>83168</v>
      </c>
      <c r="Z106" s="63">
        <f t="shared" si="186"/>
        <v>737.36567435926315</v>
      </c>
      <c r="AA106" s="82">
        <f t="shared" si="176"/>
        <v>0.155</v>
      </c>
      <c r="AB106" s="72">
        <f t="shared" si="195"/>
        <v>0.16500000000000001</v>
      </c>
      <c r="AC106" s="18"/>
      <c r="AD106" s="16"/>
      <c r="AE106" s="17">
        <v>33298</v>
      </c>
      <c r="AF106" s="65">
        <f t="shared" si="197"/>
        <v>9.9218750000000018</v>
      </c>
      <c r="AG106" s="66">
        <f t="shared" si="198"/>
        <v>14.038511202246637</v>
      </c>
      <c r="AH106" s="66">
        <f>AG106-((AG$20*AR$3)+(AR$4*AG106)+(AL106)+(20%*S106))</f>
        <v>10.517192336555935</v>
      </c>
      <c r="AI106" s="66">
        <f t="shared" si="199"/>
        <v>8.3168000000000006</v>
      </c>
      <c r="AJ106" s="66">
        <f t="shared" si="200"/>
        <v>6.112244897959183</v>
      </c>
      <c r="AK106" s="66">
        <f t="shared" si="201"/>
        <v>7.3736567435926315</v>
      </c>
      <c r="AL106" s="24">
        <f t="shared" si="182"/>
        <v>0.90226254550781271</v>
      </c>
      <c r="AM106" s="19"/>
      <c r="AN106" s="73">
        <f t="shared" ref="AN106" si="231">AN105+AF106</f>
        <v>97.98046875</v>
      </c>
      <c r="AO106" s="73">
        <f t="shared" ref="AO106" si="232">AO105+AI106</f>
        <v>66.250500000000002</v>
      </c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86">
        <f t="shared" si="183"/>
        <v>-1.1243479732685913E-2</v>
      </c>
      <c r="BE106" s="86">
        <f t="shared" si="184"/>
        <v>0</v>
      </c>
      <c r="BF106" s="16"/>
      <c r="BG106" s="16"/>
      <c r="BH106" s="16"/>
      <c r="BI106" s="16"/>
    </row>
    <row r="107" spans="8:61" s="6" customFormat="1" ht="19" hidden="1" customHeight="1">
      <c r="H107" s="16"/>
      <c r="I107" s="16"/>
      <c r="J107" s="16"/>
      <c r="K107" s="16"/>
      <c r="L107" s="16"/>
      <c r="M107" s="16"/>
      <c r="N107" s="17">
        <v>33390</v>
      </c>
      <c r="O107" s="68">
        <v>128</v>
      </c>
      <c r="P107" s="59">
        <f t="shared" si="168"/>
        <v>23.665116279069768</v>
      </c>
      <c r="Q107" s="60">
        <f t="shared" si="169"/>
        <v>0.26504930232558138</v>
      </c>
      <c r="R107" s="18">
        <f t="shared" si="206"/>
        <v>4.48E-2</v>
      </c>
      <c r="S107" s="60">
        <f t="shared" si="179"/>
        <v>10.3526286627907</v>
      </c>
      <c r="T107" s="61">
        <f t="shared" si="174"/>
        <v>34.017744941860471</v>
      </c>
      <c r="U107" s="16"/>
      <c r="V107" s="62">
        <v>60.3</v>
      </c>
      <c r="W107" s="62">
        <f t="shared" si="175"/>
        <v>21.383500000000002</v>
      </c>
      <c r="X107" s="16"/>
      <c r="Y107" s="74">
        <v>85534</v>
      </c>
      <c r="Z107" s="63">
        <f t="shared" si="186"/>
        <v>764.41361316061386</v>
      </c>
      <c r="AA107" s="82">
        <f t="shared" si="176"/>
        <v>0.12000000000000001</v>
      </c>
      <c r="AB107" s="72">
        <f t="shared" ref="AB107" si="233">AC107</f>
        <v>0.13</v>
      </c>
      <c r="AC107" s="64">
        <v>0.13</v>
      </c>
      <c r="AD107" s="16"/>
      <c r="AE107" s="17">
        <v>33390</v>
      </c>
      <c r="AF107" s="65">
        <f t="shared" si="197"/>
        <v>10</v>
      </c>
      <c r="AG107" s="66">
        <f t="shared" si="198"/>
        <v>14.22667925450317</v>
      </c>
      <c r="AH107" s="66">
        <f>AG107-((AG$20*AR$3)+(AR$4*AG107)+(AL107)+(20%*S107))</f>
        <v>10.62050918125709</v>
      </c>
      <c r="AI107" s="66">
        <f t="shared" si="199"/>
        <v>8.5533999999999999</v>
      </c>
      <c r="AJ107" s="66">
        <f t="shared" si="200"/>
        <v>6.1530612244897949</v>
      </c>
      <c r="AK107" s="66">
        <f t="shared" si="201"/>
        <v>7.6441361316061389</v>
      </c>
      <c r="AL107" s="24">
        <f t="shared" si="182"/>
        <v>0.92657717050781274</v>
      </c>
      <c r="AM107" s="19"/>
      <c r="AN107" s="70">
        <f t="shared" ref="AN107:AO107" si="234">AN106</f>
        <v>97.98046875</v>
      </c>
      <c r="AO107" s="70">
        <f t="shared" si="234"/>
        <v>66.250500000000002</v>
      </c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86">
        <f t="shared" si="183"/>
        <v>9.823614648754031E-3</v>
      </c>
      <c r="BE107" s="86">
        <f t="shared" si="184"/>
        <v>2.8448441708349259E-2</v>
      </c>
      <c r="BF107" s="16"/>
      <c r="BG107" s="16"/>
      <c r="BH107" s="16"/>
      <c r="BI107" s="16"/>
    </row>
    <row r="108" spans="8:61" s="6" customFormat="1" ht="19" hidden="1" customHeight="1">
      <c r="H108" s="16"/>
      <c r="I108" s="16"/>
      <c r="J108" s="16"/>
      <c r="K108" s="16"/>
      <c r="L108" s="16"/>
      <c r="M108" s="16"/>
      <c r="N108" s="17">
        <v>33482</v>
      </c>
      <c r="O108" s="71">
        <f>(O110+O106)/2</f>
        <v>126</v>
      </c>
      <c r="P108" s="59">
        <f t="shared" si="168"/>
        <v>23.295348837209303</v>
      </c>
      <c r="Q108" s="60">
        <f t="shared" si="169"/>
        <v>0.26090790697674421</v>
      </c>
      <c r="R108" s="18">
        <f t="shared" si="206"/>
        <v>4.48E-2</v>
      </c>
      <c r="S108" s="60">
        <f t="shared" si="179"/>
        <v>10.613536569767444</v>
      </c>
      <c r="T108" s="61">
        <f t="shared" si="174"/>
        <v>33.908885406976751</v>
      </c>
      <c r="U108" s="16"/>
      <c r="V108" s="62">
        <v>60.8</v>
      </c>
      <c r="W108" s="62">
        <f t="shared" si="175"/>
        <v>21.383500000000002</v>
      </c>
      <c r="X108" s="16"/>
      <c r="Y108" s="16">
        <f t="shared" ref="Y108" si="235">Y107</f>
        <v>85534</v>
      </c>
      <c r="Z108" s="63">
        <f t="shared" si="186"/>
        <v>786.38083067226125</v>
      </c>
      <c r="AA108" s="82">
        <f t="shared" si="176"/>
        <v>0.12000000000000001</v>
      </c>
      <c r="AB108" s="72">
        <f t="shared" ref="AB108" si="236">AB107</f>
        <v>0.13</v>
      </c>
      <c r="AC108" s="18"/>
      <c r="AD108" s="16"/>
      <c r="AE108" s="17">
        <v>33482</v>
      </c>
      <c r="AF108" s="65">
        <f t="shared" si="197"/>
        <v>9.84375</v>
      </c>
      <c r="AG108" s="66">
        <f t="shared" si="198"/>
        <v>14.181152730354318</v>
      </c>
      <c r="AH108" s="66">
        <f>AG108-((AG$20*AR$3)+(AR$4*AG108)+(AL108)+(20%*S108))</f>
        <v>10.500687427694469</v>
      </c>
      <c r="AI108" s="66">
        <f t="shared" si="199"/>
        <v>8.5533999999999999</v>
      </c>
      <c r="AJ108" s="66">
        <f t="shared" si="200"/>
        <v>6.2040816326530601</v>
      </c>
      <c r="AK108" s="66">
        <f t="shared" si="201"/>
        <v>7.8638083067226123</v>
      </c>
      <c r="AL108" s="24">
        <f t="shared" si="182"/>
        <v>0.95051187949218774</v>
      </c>
      <c r="AM108" s="19"/>
      <c r="AN108" s="70">
        <f t="shared" si="192"/>
        <v>97.98046875</v>
      </c>
      <c r="AO108" s="70">
        <f t="shared" si="193"/>
        <v>66.250500000000002</v>
      </c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86">
        <f t="shared" si="183"/>
        <v>-1.1282110068138729E-2</v>
      </c>
      <c r="BE108" s="86">
        <f t="shared" si="184"/>
        <v>0</v>
      </c>
      <c r="BF108" s="16"/>
      <c r="BG108" s="16"/>
      <c r="BH108" s="16"/>
      <c r="BI108" s="16"/>
    </row>
    <row r="109" spans="8:61" s="6" customFormat="1" ht="19" hidden="1" customHeight="1">
      <c r="H109" s="16"/>
      <c r="I109" s="16"/>
      <c r="J109" s="16"/>
      <c r="K109" s="16"/>
      <c r="L109" s="16"/>
      <c r="M109" s="16"/>
      <c r="N109" s="17">
        <v>33573</v>
      </c>
      <c r="O109" s="68">
        <f t="shared" si="173"/>
        <v>126</v>
      </c>
      <c r="P109" s="59">
        <f t="shared" si="168"/>
        <v>23.295348837209303</v>
      </c>
      <c r="Q109" s="60">
        <f t="shared" si="169"/>
        <v>0.26090790697674421</v>
      </c>
      <c r="R109" s="18">
        <f t="shared" si="206"/>
        <v>4.48E-2</v>
      </c>
      <c r="S109" s="60">
        <f t="shared" si="179"/>
        <v>10.874444476744188</v>
      </c>
      <c r="T109" s="61">
        <f t="shared" si="174"/>
        <v>34.169793313953491</v>
      </c>
      <c r="U109" s="16"/>
      <c r="V109" s="62">
        <v>61.2</v>
      </c>
      <c r="W109" s="62">
        <f t="shared" si="175"/>
        <v>22.81175</v>
      </c>
      <c r="X109" s="16"/>
      <c r="Y109" s="16">
        <f t="shared" ref="Y109" si="237">(Y107+Y111)/2</f>
        <v>91247</v>
      </c>
      <c r="Z109" s="63">
        <f t="shared" si="186"/>
        <v>808.97932768612577</v>
      </c>
      <c r="AA109" s="82">
        <f t="shared" si="176"/>
        <v>0.12000000000000001</v>
      </c>
      <c r="AB109" s="72">
        <f t="shared" si="195"/>
        <v>0.13</v>
      </c>
      <c r="AC109" s="18"/>
      <c r="AD109" s="16"/>
      <c r="AE109" s="17">
        <v>33573</v>
      </c>
      <c r="AF109" s="65">
        <f t="shared" si="197"/>
        <v>9.84375</v>
      </c>
      <c r="AG109" s="66">
        <f t="shared" si="198"/>
        <v>14.290267932254554</v>
      </c>
      <c r="AH109" s="66">
        <f>AG109-((AG$20*AR$3)+(AR$4*AG109)+(AL109)+(20%*S109))</f>
        <v>10.529321731138971</v>
      </c>
      <c r="AI109" s="66">
        <f t="shared" si="199"/>
        <v>9.1247000000000007</v>
      </c>
      <c r="AJ109" s="66">
        <f t="shared" si="200"/>
        <v>6.2448979591836737</v>
      </c>
      <c r="AK109" s="66">
        <f t="shared" si="201"/>
        <v>8.0897932768612577</v>
      </c>
      <c r="AL109" s="24">
        <f t="shared" si="182"/>
        <v>0.97444658847656274</v>
      </c>
      <c r="AM109" s="19"/>
      <c r="AN109" s="70">
        <f t="shared" si="192"/>
        <v>97.98046875</v>
      </c>
      <c r="AO109" s="70">
        <f t="shared" si="193"/>
        <v>66.250500000000002</v>
      </c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86">
        <f t="shared" si="183"/>
        <v>2.7268979904098156E-3</v>
      </c>
      <c r="BE109" s="86">
        <f t="shared" si="184"/>
        <v>6.6792152828115237E-2</v>
      </c>
      <c r="BF109" s="16"/>
      <c r="BG109" s="16"/>
      <c r="BH109" s="16"/>
      <c r="BI109" s="16"/>
    </row>
    <row r="110" spans="8:61" s="6" customFormat="1" ht="19" hidden="1" customHeight="1">
      <c r="H110" s="16"/>
      <c r="I110" s="16"/>
      <c r="J110" s="16"/>
      <c r="K110" s="16"/>
      <c r="L110" s="16"/>
      <c r="M110" s="16"/>
      <c r="N110" s="17">
        <v>33664</v>
      </c>
      <c r="O110" s="68">
        <v>125</v>
      </c>
      <c r="P110" s="59">
        <f t="shared" si="168"/>
        <v>23.11046511627907</v>
      </c>
      <c r="Q110" s="60">
        <f t="shared" si="169"/>
        <v>0.25479287790697674</v>
      </c>
      <c r="R110" s="75">
        <v>4.41E-2</v>
      </c>
      <c r="S110" s="60">
        <f t="shared" si="179"/>
        <v>11.129237354651165</v>
      </c>
      <c r="T110" s="61">
        <f t="shared" si="174"/>
        <v>34.239702470930233</v>
      </c>
      <c r="U110" s="16"/>
      <c r="V110" s="62">
        <v>61.2</v>
      </c>
      <c r="W110" s="62">
        <f t="shared" si="175"/>
        <v>22.81175</v>
      </c>
      <c r="X110" s="16"/>
      <c r="Y110" s="16">
        <f t="shared" ref="Y110" si="238">Y109</f>
        <v>91247</v>
      </c>
      <c r="Z110" s="63">
        <f t="shared" si="186"/>
        <v>832.22724549887869</v>
      </c>
      <c r="AA110" s="82">
        <f t="shared" si="176"/>
        <v>0.12000000000000001</v>
      </c>
      <c r="AB110" s="72">
        <f t="shared" si="195"/>
        <v>0.13</v>
      </c>
      <c r="AC110" s="18"/>
      <c r="AD110" s="16"/>
      <c r="AE110" s="17">
        <v>33664</v>
      </c>
      <c r="AF110" s="65">
        <f t="shared" si="197"/>
        <v>9.765625</v>
      </c>
      <c r="AG110" s="66">
        <f t="shared" si="198"/>
        <v>14.31950488358571</v>
      </c>
      <c r="AH110" s="66">
        <f>AG110-((AG$20*AR$3)+(AR$4*AG110)+(AL110)+(20%*S110))</f>
        <v>10.482685877858923</v>
      </c>
      <c r="AI110" s="66">
        <f t="shared" si="199"/>
        <v>9.1247000000000007</v>
      </c>
      <c r="AJ110" s="66">
        <f t="shared" si="200"/>
        <v>6.2448979591836737</v>
      </c>
      <c r="AK110" s="66">
        <f t="shared" si="201"/>
        <v>8.3222724549887861</v>
      </c>
      <c r="AL110" s="24">
        <f t="shared" si="182"/>
        <v>0.99819133945312521</v>
      </c>
      <c r="AM110" s="19"/>
      <c r="AN110" s="73">
        <f t="shared" ref="AN110" si="239">AN109+AF110</f>
        <v>107.74609375</v>
      </c>
      <c r="AO110" s="73">
        <f t="shared" ref="AO110" si="240">AO109+AI110</f>
        <v>75.375200000000007</v>
      </c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86">
        <f t="shared" si="183"/>
        <v>-4.4291412562813548E-3</v>
      </c>
      <c r="BE110" s="86">
        <f t="shared" si="184"/>
        <v>0</v>
      </c>
      <c r="BF110" s="16"/>
      <c r="BG110" s="16"/>
      <c r="BH110" s="16"/>
      <c r="BI110" s="16"/>
    </row>
    <row r="111" spans="8:61" s="6" customFormat="1" ht="19" hidden="1" customHeight="1">
      <c r="H111" s="16"/>
      <c r="I111" s="16"/>
      <c r="J111" s="16"/>
      <c r="K111" s="16"/>
      <c r="L111" s="16"/>
      <c r="M111" s="16"/>
      <c r="N111" s="17">
        <v>33756</v>
      </c>
      <c r="O111" s="68">
        <f t="shared" ref="O111" si="241">O110</f>
        <v>125</v>
      </c>
      <c r="P111" s="59">
        <f t="shared" si="168"/>
        <v>23.11046511627907</v>
      </c>
      <c r="Q111" s="60">
        <f t="shared" si="169"/>
        <v>0.25479287790697674</v>
      </c>
      <c r="R111" s="18">
        <f t="shared" si="206"/>
        <v>4.41E-2</v>
      </c>
      <c r="S111" s="60">
        <f t="shared" si="179"/>
        <v>11.384030232558143</v>
      </c>
      <c r="T111" s="61">
        <f t="shared" si="174"/>
        <v>34.494495348837212</v>
      </c>
      <c r="U111" s="16"/>
      <c r="V111" s="62">
        <v>61.1</v>
      </c>
      <c r="W111" s="62">
        <f t="shared" si="175"/>
        <v>24.24</v>
      </c>
      <c r="X111" s="16"/>
      <c r="Y111" s="74">
        <v>96960</v>
      </c>
      <c r="Z111" s="63">
        <f t="shared" si="186"/>
        <v>856.14324673988722</v>
      </c>
      <c r="AA111" s="82">
        <f t="shared" si="176"/>
        <v>9.5000000000000001E-2</v>
      </c>
      <c r="AB111" s="72">
        <f t="shared" ref="AB111" si="242">AC111</f>
        <v>0.105</v>
      </c>
      <c r="AC111" s="64">
        <v>0.105</v>
      </c>
      <c r="AD111" s="16"/>
      <c r="AE111" s="17">
        <v>33756</v>
      </c>
      <c r="AF111" s="65">
        <f t="shared" si="197"/>
        <v>9.765625</v>
      </c>
      <c r="AG111" s="66">
        <f t="shared" si="198"/>
        <v>14.426062697941411</v>
      </c>
      <c r="AH111" s="66">
        <f>AG111-((AG$20*AR$3)+(AR$4*AG111)+(AL111)+(20%*S111))</f>
        <v>10.510278053082438</v>
      </c>
      <c r="AI111" s="66">
        <f t="shared" si="199"/>
        <v>9.6959999999999997</v>
      </c>
      <c r="AJ111" s="66">
        <f t="shared" si="200"/>
        <v>6.2346938775510203</v>
      </c>
      <c r="AK111" s="66">
        <f t="shared" si="201"/>
        <v>8.5614324673988715</v>
      </c>
      <c r="AL111" s="24">
        <f t="shared" si="182"/>
        <v>1.0219360904296877</v>
      </c>
      <c r="AM111" s="19"/>
      <c r="AN111" s="70">
        <f t="shared" ref="AN111:AO111" si="243">AN110</f>
        <v>107.74609375</v>
      </c>
      <c r="AO111" s="70">
        <f t="shared" si="243"/>
        <v>75.375200000000007</v>
      </c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86">
        <f t="shared" si="183"/>
        <v>2.6321665596975574E-3</v>
      </c>
      <c r="BE111" s="86">
        <f t="shared" si="184"/>
        <v>6.2610277598167396E-2</v>
      </c>
      <c r="BF111" s="16"/>
      <c r="BG111" s="16"/>
      <c r="BH111" s="16"/>
      <c r="BI111" s="16"/>
    </row>
    <row r="112" spans="8:61" s="6" customFormat="1" ht="19" hidden="1" customHeight="1">
      <c r="H112" s="16"/>
      <c r="I112" s="16"/>
      <c r="J112" s="16"/>
      <c r="K112" s="16"/>
      <c r="L112" s="16"/>
      <c r="M112" s="16"/>
      <c r="N112" s="17">
        <v>33848</v>
      </c>
      <c r="O112" s="71">
        <f>(O114+O110)/2</f>
        <v>125.5</v>
      </c>
      <c r="P112" s="59">
        <f t="shared" si="168"/>
        <v>23.202906976744185</v>
      </c>
      <c r="Q112" s="60">
        <f t="shared" si="169"/>
        <v>0.25581204941860464</v>
      </c>
      <c r="R112" s="18">
        <f t="shared" si="206"/>
        <v>4.41E-2</v>
      </c>
      <c r="S112" s="60">
        <f t="shared" si="179"/>
        <v>11.639842281976748</v>
      </c>
      <c r="T112" s="61">
        <f t="shared" si="174"/>
        <v>34.842749258720929</v>
      </c>
      <c r="U112" s="16"/>
      <c r="V112" s="62">
        <v>61</v>
      </c>
      <c r="W112" s="62">
        <f t="shared" si="175"/>
        <v>24.24</v>
      </c>
      <c r="X112" s="16"/>
      <c r="Y112" s="16">
        <f t="shared" ref="Y112" si="244">Y111</f>
        <v>96960</v>
      </c>
      <c r="Z112" s="63">
        <f t="shared" si="186"/>
        <v>875.78996594100056</v>
      </c>
      <c r="AA112" s="82">
        <f t="shared" si="176"/>
        <v>9.5000000000000001E-2</v>
      </c>
      <c r="AB112" s="72">
        <f t="shared" ref="AB112" si="245">AB111</f>
        <v>0.105</v>
      </c>
      <c r="AC112" s="18"/>
      <c r="AD112" s="16"/>
      <c r="AE112" s="17">
        <v>33848</v>
      </c>
      <c r="AF112" s="65">
        <f t="shared" si="197"/>
        <v>9.8046875</v>
      </c>
      <c r="AG112" s="66">
        <f t="shared" si="198"/>
        <v>14.571707175066805</v>
      </c>
      <c r="AH112" s="66">
        <f>AG112-((AG$20*AR$3)+(AR$4*AG112)+(AL112)+(20%*S112))</f>
        <v>10.575094611258628</v>
      </c>
      <c r="AI112" s="66">
        <f t="shared" si="199"/>
        <v>9.6959999999999997</v>
      </c>
      <c r="AJ112" s="66">
        <f t="shared" si="200"/>
        <v>6.2244897959183669</v>
      </c>
      <c r="AK112" s="66">
        <f t="shared" si="201"/>
        <v>8.7578996594100058</v>
      </c>
      <c r="AL112" s="24">
        <f t="shared" si="182"/>
        <v>1.0457758204101564</v>
      </c>
      <c r="AM112" s="19"/>
      <c r="AN112" s="70">
        <f t="shared" si="192"/>
        <v>107.74609375</v>
      </c>
      <c r="AO112" s="70">
        <f t="shared" si="193"/>
        <v>75.375200000000007</v>
      </c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86">
        <f t="shared" si="183"/>
        <v>6.166968927827865E-3</v>
      </c>
      <c r="BE112" s="86">
        <f t="shared" si="184"/>
        <v>0</v>
      </c>
      <c r="BF112" s="16"/>
      <c r="BG112" s="16"/>
      <c r="BH112" s="16"/>
      <c r="BI112" s="16"/>
    </row>
    <row r="113" spans="8:61" s="6" customFormat="1" ht="19" hidden="1" customHeight="1">
      <c r="H113" s="16"/>
      <c r="I113" s="16"/>
      <c r="J113" s="16"/>
      <c r="K113" s="16"/>
      <c r="L113" s="16"/>
      <c r="M113" s="16"/>
      <c r="N113" s="17">
        <v>33939</v>
      </c>
      <c r="O113" s="68">
        <f t="shared" si="173"/>
        <v>125.5</v>
      </c>
      <c r="P113" s="59">
        <f t="shared" si="168"/>
        <v>23.202906976744185</v>
      </c>
      <c r="Q113" s="60">
        <f t="shared" si="169"/>
        <v>0.25581204941860464</v>
      </c>
      <c r="R113" s="18">
        <f t="shared" si="206"/>
        <v>4.41E-2</v>
      </c>
      <c r="S113" s="60">
        <f t="shared" si="179"/>
        <v>11.895654331395352</v>
      </c>
      <c r="T113" s="61">
        <f t="shared" si="174"/>
        <v>35.098561308139537</v>
      </c>
      <c r="U113" s="16"/>
      <c r="V113" s="62">
        <v>61.1</v>
      </c>
      <c r="W113" s="62">
        <f t="shared" si="175"/>
        <v>25.44125</v>
      </c>
      <c r="X113" s="16"/>
      <c r="Y113" s="16">
        <f t="shared" ref="Y113" si="246">(Y111+Y115)/2</f>
        <v>101765</v>
      </c>
      <c r="Z113" s="63">
        <f t="shared" si="186"/>
        <v>895.88753676868134</v>
      </c>
      <c r="AA113" s="82">
        <f t="shared" si="176"/>
        <v>9.5000000000000001E-2</v>
      </c>
      <c r="AB113" s="72">
        <f t="shared" si="195"/>
        <v>0.105</v>
      </c>
      <c r="AC113" s="18"/>
      <c r="AD113" s="16"/>
      <c r="AE113" s="17">
        <v>33939</v>
      </c>
      <c r="AF113" s="65">
        <f t="shared" si="197"/>
        <v>9.8046875</v>
      </c>
      <c r="AG113" s="66">
        <f t="shared" si="198"/>
        <v>14.67869122067993</v>
      </c>
      <c r="AH113" s="66">
        <f>AG113-((AG$20*AR$3)+(AR$4*AG113)+(AL113)+(20%*S113))</f>
        <v>10.602797155183037</v>
      </c>
      <c r="AI113" s="66">
        <f t="shared" si="199"/>
        <v>10.176500000000001</v>
      </c>
      <c r="AJ113" s="66">
        <f t="shared" si="200"/>
        <v>6.2346938775510203</v>
      </c>
      <c r="AK113" s="66">
        <f t="shared" si="201"/>
        <v>8.9588753676868134</v>
      </c>
      <c r="AL113" s="24">
        <f t="shared" si="182"/>
        <v>1.0696155503906251</v>
      </c>
      <c r="AM113" s="19"/>
      <c r="AN113" s="70">
        <f t="shared" si="192"/>
        <v>107.74609375</v>
      </c>
      <c r="AO113" s="70">
        <f t="shared" si="193"/>
        <v>75.375200000000007</v>
      </c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86">
        <f t="shared" si="183"/>
        <v>2.6196024662432649E-3</v>
      </c>
      <c r="BE113" s="86">
        <f t="shared" si="184"/>
        <v>4.9556518151815387E-2</v>
      </c>
      <c r="BF113" s="16"/>
      <c r="BG113" s="16"/>
      <c r="BH113" s="16"/>
      <c r="BI113" s="16"/>
    </row>
    <row r="114" spans="8:61" s="6" customFormat="1" ht="19" hidden="1" customHeight="1">
      <c r="H114" s="16"/>
      <c r="I114" s="16"/>
      <c r="J114" s="16"/>
      <c r="K114" s="16"/>
      <c r="L114" s="16"/>
      <c r="M114" s="16"/>
      <c r="N114" s="17">
        <v>34029</v>
      </c>
      <c r="O114" s="68">
        <v>126</v>
      </c>
      <c r="P114" s="59">
        <f t="shared" si="168"/>
        <v>23.295348837209303</v>
      </c>
      <c r="Q114" s="60">
        <f t="shared" si="169"/>
        <v>0.24984261627906978</v>
      </c>
      <c r="R114" s="75">
        <v>4.2900000000000001E-2</v>
      </c>
      <c r="S114" s="60">
        <f t="shared" si="179"/>
        <v>12.145496947674422</v>
      </c>
      <c r="T114" s="61">
        <f t="shared" si="174"/>
        <v>35.440845784883727</v>
      </c>
      <c r="U114" s="16"/>
      <c r="V114" s="62">
        <v>61.9</v>
      </c>
      <c r="W114" s="62">
        <f t="shared" si="175"/>
        <v>25.44125</v>
      </c>
      <c r="X114" s="16"/>
      <c r="Y114" s="16">
        <f t="shared" ref="Y114" si="247">Y113</f>
        <v>101765</v>
      </c>
      <c r="Z114" s="63">
        <f t="shared" si="186"/>
        <v>916.44630533655277</v>
      </c>
      <c r="AA114" s="82">
        <f t="shared" si="176"/>
        <v>9.5000000000000001E-2</v>
      </c>
      <c r="AB114" s="72">
        <f t="shared" si="195"/>
        <v>0.105</v>
      </c>
      <c r="AC114" s="18"/>
      <c r="AD114" s="16"/>
      <c r="AE114" s="17">
        <v>34029</v>
      </c>
      <c r="AF114" s="65">
        <f t="shared" si="197"/>
        <v>9.84375</v>
      </c>
      <c r="AG114" s="66">
        <f t="shared" si="198"/>
        <v>14.821839200440422</v>
      </c>
      <c r="AH114" s="66">
        <f>AG114-((AG$20*AR$3)+(AR$4*AG114)+(AL114)+(20%*S114))</f>
        <v>10.66631598351292</v>
      </c>
      <c r="AI114" s="66">
        <f t="shared" si="199"/>
        <v>10.176500000000001</v>
      </c>
      <c r="AJ114" s="66">
        <f t="shared" si="200"/>
        <v>6.316326530612244</v>
      </c>
      <c r="AK114" s="66">
        <f t="shared" si="201"/>
        <v>9.1644630533655285</v>
      </c>
      <c r="AL114" s="24">
        <f t="shared" si="182"/>
        <v>1.0935502593750002</v>
      </c>
      <c r="AM114" s="19"/>
      <c r="AN114" s="73">
        <f t="shared" ref="AN114" si="248">AN113+AF114</f>
        <v>117.58984375</v>
      </c>
      <c r="AO114" s="73">
        <f t="shared" ref="AO114" si="249">AO113+AI114</f>
        <v>85.551700000000011</v>
      </c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86">
        <f t="shared" si="183"/>
        <v>5.9907614377807672E-3</v>
      </c>
      <c r="BE114" s="86">
        <f t="shared" si="184"/>
        <v>0</v>
      </c>
      <c r="BF114" s="16"/>
      <c r="BG114" s="16"/>
      <c r="BH114" s="16"/>
      <c r="BI114" s="16"/>
    </row>
    <row r="115" spans="8:61" s="6" customFormat="1" ht="19" hidden="1" customHeight="1">
      <c r="H115" s="16"/>
      <c r="I115" s="16"/>
      <c r="J115" s="16"/>
      <c r="K115" s="16"/>
      <c r="L115" s="16"/>
      <c r="M115" s="16"/>
      <c r="N115" s="17">
        <v>34121</v>
      </c>
      <c r="O115" s="68">
        <f t="shared" ref="O115" si="250">O114</f>
        <v>126</v>
      </c>
      <c r="P115" s="59">
        <f t="shared" si="168"/>
        <v>23.295348837209303</v>
      </c>
      <c r="Q115" s="60">
        <f t="shared" si="169"/>
        <v>0.24984261627906978</v>
      </c>
      <c r="R115" s="18">
        <f t="shared" si="206"/>
        <v>4.2900000000000001E-2</v>
      </c>
      <c r="S115" s="60">
        <f t="shared" si="179"/>
        <v>12.395339563953492</v>
      </c>
      <c r="T115" s="61">
        <f t="shared" si="174"/>
        <v>35.690688401162795</v>
      </c>
      <c r="U115" s="16"/>
      <c r="V115" s="62">
        <v>62.2</v>
      </c>
      <c r="W115" s="62">
        <f t="shared" si="175"/>
        <v>26.642499999999998</v>
      </c>
      <c r="X115" s="16"/>
      <c r="Y115" s="74">
        <v>106570</v>
      </c>
      <c r="Z115" s="63">
        <f t="shared" si="186"/>
        <v>937.47685518017659</v>
      </c>
      <c r="AA115" s="82">
        <f t="shared" si="176"/>
        <v>8.5000000000000006E-2</v>
      </c>
      <c r="AB115" s="72">
        <f t="shared" ref="AB115" si="251">AC115</f>
        <v>9.5000000000000001E-2</v>
      </c>
      <c r="AC115" s="64">
        <v>9.5000000000000001E-2</v>
      </c>
      <c r="AD115" s="16"/>
      <c r="AE115" s="17">
        <v>34121</v>
      </c>
      <c r="AF115" s="65">
        <f t="shared" si="197"/>
        <v>9.84375</v>
      </c>
      <c r="AG115" s="66">
        <f t="shared" si="198"/>
        <v>14.926326748688641</v>
      </c>
      <c r="AH115" s="66">
        <f>AG115-((AG$20*AR$3)+(AR$4*AG115)+(AL115)+(20%*S115))</f>
        <v>10.692720797591022</v>
      </c>
      <c r="AI115" s="66">
        <f t="shared" si="199"/>
        <v>10.657</v>
      </c>
      <c r="AJ115" s="66">
        <f t="shared" si="200"/>
        <v>6.3469387755102042</v>
      </c>
      <c r="AK115" s="66">
        <f t="shared" si="201"/>
        <v>9.3747685518017665</v>
      </c>
      <c r="AL115" s="24">
        <f t="shared" si="182"/>
        <v>1.1174849683593751</v>
      </c>
      <c r="AM115" s="19"/>
      <c r="AN115" s="70">
        <f t="shared" ref="AN115:AO115" si="252">AN114</f>
        <v>117.58984375</v>
      </c>
      <c r="AO115" s="70">
        <f t="shared" si="252"/>
        <v>85.551700000000011</v>
      </c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86">
        <f t="shared" si="183"/>
        <v>2.4755327067862432E-3</v>
      </c>
      <c r="BE115" s="86">
        <f t="shared" si="184"/>
        <v>4.7216626541541684E-2</v>
      </c>
      <c r="BF115" s="16"/>
      <c r="BG115" s="16"/>
      <c r="BH115" s="16"/>
      <c r="BI115" s="16"/>
    </row>
    <row r="116" spans="8:61" s="6" customFormat="1" ht="19" hidden="1" customHeight="1">
      <c r="H116" s="16"/>
      <c r="I116" s="16"/>
      <c r="J116" s="16"/>
      <c r="K116" s="16"/>
      <c r="L116" s="16"/>
      <c r="M116" s="16"/>
      <c r="N116" s="17">
        <v>34213</v>
      </c>
      <c r="O116" s="71">
        <f>(O118+O114)/2</f>
        <v>128</v>
      </c>
      <c r="P116" s="59">
        <f t="shared" si="168"/>
        <v>23.665116279069768</v>
      </c>
      <c r="Q116" s="60">
        <f t="shared" si="169"/>
        <v>0.25380837209302326</v>
      </c>
      <c r="R116" s="18">
        <f t="shared" si="206"/>
        <v>4.2900000000000001E-2</v>
      </c>
      <c r="S116" s="60">
        <f t="shared" si="179"/>
        <v>12.649147936046514</v>
      </c>
      <c r="T116" s="61">
        <f t="shared" si="174"/>
        <v>36.314264215116282</v>
      </c>
      <c r="U116" s="16"/>
      <c r="V116" s="62">
        <v>62.4</v>
      </c>
      <c r="W116" s="62">
        <f t="shared" si="175"/>
        <v>26.642499999999998</v>
      </c>
      <c r="X116" s="16"/>
      <c r="Y116" s="16">
        <f t="shared" ref="Y116" si="253">Y115</f>
        <v>106570</v>
      </c>
      <c r="Z116" s="63">
        <f t="shared" si="186"/>
        <v>956.79299939149678</v>
      </c>
      <c r="AA116" s="82">
        <f t="shared" si="176"/>
        <v>8.5000000000000006E-2</v>
      </c>
      <c r="AB116" s="72">
        <f t="shared" ref="AB116" si="254">AB115</f>
        <v>9.5000000000000001E-2</v>
      </c>
      <c r="AC116" s="18"/>
      <c r="AD116" s="16"/>
      <c r="AE116" s="17">
        <v>34213</v>
      </c>
      <c r="AF116" s="65">
        <f t="shared" si="197"/>
        <v>10</v>
      </c>
      <c r="AG116" s="66">
        <f t="shared" si="198"/>
        <v>15.187114555497825</v>
      </c>
      <c r="AH116" s="66">
        <f>AG116-((AG$20*AR$3)+(AR$4*AG116)+(AL116)+(20%*S116))</f>
        <v>10.868000792709234</v>
      </c>
      <c r="AI116" s="66">
        <f t="shared" si="199"/>
        <v>10.657</v>
      </c>
      <c r="AJ116" s="66">
        <f t="shared" si="200"/>
        <v>6.3673469387755093</v>
      </c>
      <c r="AK116" s="66">
        <f t="shared" si="201"/>
        <v>9.5679299939149676</v>
      </c>
      <c r="AL116" s="24">
        <f t="shared" si="182"/>
        <v>1.141799593359375</v>
      </c>
      <c r="AM116" s="19"/>
      <c r="AN116" s="70">
        <f t="shared" si="192"/>
        <v>117.58984375</v>
      </c>
      <c r="AO116" s="70">
        <f t="shared" si="193"/>
        <v>85.551700000000011</v>
      </c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86">
        <f t="shared" si="183"/>
        <v>1.6392459733700404E-2</v>
      </c>
      <c r="BE116" s="86">
        <f t="shared" si="184"/>
        <v>0</v>
      </c>
      <c r="BF116" s="16"/>
      <c r="BG116" s="16"/>
      <c r="BH116" s="16"/>
      <c r="BI116" s="16"/>
    </row>
    <row r="117" spans="8:61" s="6" customFormat="1" ht="19" hidden="1" customHeight="1">
      <c r="H117" s="16"/>
      <c r="I117" s="16"/>
      <c r="J117" s="16"/>
      <c r="K117" s="16"/>
      <c r="L117" s="16"/>
      <c r="M117" s="16"/>
      <c r="N117" s="17">
        <v>34304</v>
      </c>
      <c r="O117" s="68">
        <f t="shared" si="173"/>
        <v>128</v>
      </c>
      <c r="P117" s="59">
        <f t="shared" si="168"/>
        <v>23.665116279069768</v>
      </c>
      <c r="Q117" s="60">
        <f t="shared" si="169"/>
        <v>0.25380837209302326</v>
      </c>
      <c r="R117" s="18">
        <f t="shared" si="206"/>
        <v>4.2900000000000001E-2</v>
      </c>
      <c r="S117" s="60">
        <f t="shared" si="179"/>
        <v>12.902956308139537</v>
      </c>
      <c r="T117" s="61">
        <f t="shared" si="174"/>
        <v>36.568072587209301</v>
      </c>
      <c r="U117" s="16"/>
      <c r="V117" s="62">
        <v>62.6</v>
      </c>
      <c r="W117" s="62">
        <f t="shared" si="175"/>
        <v>29.100750000000001</v>
      </c>
      <c r="X117" s="16"/>
      <c r="Y117" s="16">
        <f t="shared" ref="Y117" si="255">(Y115+Y119)/2</f>
        <v>116403</v>
      </c>
      <c r="Z117" s="63">
        <f t="shared" si="186"/>
        <v>976.50714108417424</v>
      </c>
      <c r="AA117" s="82">
        <f t="shared" si="176"/>
        <v>8.5000000000000006E-2</v>
      </c>
      <c r="AB117" s="72">
        <f t="shared" si="195"/>
        <v>9.5000000000000001E-2</v>
      </c>
      <c r="AC117" s="18"/>
      <c r="AD117" s="16"/>
      <c r="AE117" s="17">
        <v>34304</v>
      </c>
      <c r="AF117" s="65">
        <f t="shared" si="197"/>
        <v>10</v>
      </c>
      <c r="AG117" s="66">
        <f t="shared" si="198"/>
        <v>15.293260636257918</v>
      </c>
      <c r="AH117" s="66">
        <f>AG117-((AG$20*AR$3)+(AR$4*AG117)+(AL117)+(20%*S117))</f>
        <v>10.894824730820318</v>
      </c>
      <c r="AI117" s="66">
        <f t="shared" si="199"/>
        <v>11.6403</v>
      </c>
      <c r="AJ117" s="66">
        <f t="shared" si="200"/>
        <v>6.3877551020408161</v>
      </c>
      <c r="AK117" s="66">
        <f t="shared" si="201"/>
        <v>9.7650714108417418</v>
      </c>
      <c r="AL117" s="24">
        <f t="shared" si="182"/>
        <v>1.1661142183593749</v>
      </c>
      <c r="AM117" s="19"/>
      <c r="AN117" s="70">
        <f t="shared" si="192"/>
        <v>117.58984375</v>
      </c>
      <c r="AO117" s="70">
        <f t="shared" si="193"/>
        <v>85.551700000000011</v>
      </c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86">
        <f t="shared" si="183"/>
        <v>2.4681575409046808E-3</v>
      </c>
      <c r="BE117" s="86">
        <f t="shared" si="184"/>
        <v>9.2267992868537041E-2</v>
      </c>
      <c r="BF117" s="16"/>
      <c r="BG117" s="16"/>
      <c r="BH117" s="16"/>
      <c r="BI117" s="16"/>
    </row>
    <row r="118" spans="8:61" s="6" customFormat="1" ht="19" hidden="1" customHeight="1">
      <c r="H118" s="16"/>
      <c r="I118" s="16"/>
      <c r="J118" s="16"/>
      <c r="K118" s="16"/>
      <c r="L118" s="16"/>
      <c r="M118" s="16"/>
      <c r="N118" s="17">
        <v>34394</v>
      </c>
      <c r="O118" s="68">
        <v>130</v>
      </c>
      <c r="P118" s="59">
        <f t="shared" si="168"/>
        <v>24.034883720930235</v>
      </c>
      <c r="Q118" s="60">
        <f t="shared" si="169"/>
        <v>0.24996279069767444</v>
      </c>
      <c r="R118" s="75">
        <v>4.1599999999999998E-2</v>
      </c>
      <c r="S118" s="60">
        <f t="shared" si="179"/>
        <v>13.152919098837211</v>
      </c>
      <c r="T118" s="61">
        <f t="shared" si="174"/>
        <v>37.187802819767448</v>
      </c>
      <c r="U118" s="16"/>
      <c r="V118" s="62">
        <v>62.8</v>
      </c>
      <c r="W118" s="62">
        <f t="shared" si="175"/>
        <v>29.100750000000001</v>
      </c>
      <c r="X118" s="16"/>
      <c r="Y118" s="16">
        <f t="shared" ref="Y118" si="256">Y117</f>
        <v>116403</v>
      </c>
      <c r="Z118" s="63">
        <f t="shared" si="186"/>
        <v>996.62748075585671</v>
      </c>
      <c r="AA118" s="82">
        <f t="shared" si="176"/>
        <v>8.5000000000000006E-2</v>
      </c>
      <c r="AB118" s="72">
        <f t="shared" si="195"/>
        <v>9.5000000000000001E-2</v>
      </c>
      <c r="AC118" s="18"/>
      <c r="AD118" s="16"/>
      <c r="AE118" s="17">
        <v>34394</v>
      </c>
      <c r="AF118" s="65">
        <f t="shared" si="197"/>
        <v>10.156250000000002</v>
      </c>
      <c r="AG118" s="66">
        <f t="shared" si="198"/>
        <v>15.552440169116196</v>
      </c>
      <c r="AH118" s="66">
        <f>AG118-((AG$20*AR$3)+(AR$4*AG118)+(AL118)+(20%*S118))</f>
        <v>11.068949983209105</v>
      </c>
      <c r="AI118" s="66">
        <f t="shared" si="199"/>
        <v>11.6403</v>
      </c>
      <c r="AJ118" s="66">
        <f t="shared" si="200"/>
        <v>6.408163265306122</v>
      </c>
      <c r="AK118" s="66">
        <f t="shared" si="201"/>
        <v>9.9662748075585679</v>
      </c>
      <c r="AL118" s="24">
        <f t="shared" si="182"/>
        <v>1.1908087593749999</v>
      </c>
      <c r="AM118" s="19"/>
      <c r="AN118" s="73">
        <f t="shared" ref="AN118" si="257">AN117+AF118</f>
        <v>127.74609375</v>
      </c>
      <c r="AO118" s="73">
        <f t="shared" ref="AO118" si="258">AO117+AI118</f>
        <v>97.192000000000007</v>
      </c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86">
        <f t="shared" si="183"/>
        <v>1.598238215766834E-2</v>
      </c>
      <c r="BE118" s="86">
        <f t="shared" si="184"/>
        <v>0</v>
      </c>
      <c r="BF118" s="16"/>
      <c r="BG118" s="16"/>
      <c r="BH118" s="16"/>
      <c r="BI118" s="16"/>
    </row>
    <row r="119" spans="8:61" s="6" customFormat="1" ht="19" hidden="1" customHeight="1">
      <c r="H119" s="16"/>
      <c r="I119" s="16"/>
      <c r="J119" s="16"/>
      <c r="K119" s="16"/>
      <c r="L119" s="16"/>
      <c r="M119" s="16"/>
      <c r="N119" s="17">
        <v>34486</v>
      </c>
      <c r="O119" s="68">
        <f t="shared" ref="O119" si="259">O118</f>
        <v>130</v>
      </c>
      <c r="P119" s="59">
        <f t="shared" si="168"/>
        <v>24.034883720930235</v>
      </c>
      <c r="Q119" s="60">
        <f t="shared" si="169"/>
        <v>0.24996279069767444</v>
      </c>
      <c r="R119" s="18">
        <f t="shared" si="206"/>
        <v>4.1599999999999998E-2</v>
      </c>
      <c r="S119" s="60">
        <f t="shared" si="179"/>
        <v>13.402881889534886</v>
      </c>
      <c r="T119" s="61">
        <f t="shared" si="174"/>
        <v>37.437765610465121</v>
      </c>
      <c r="U119" s="16"/>
      <c r="V119" s="62">
        <v>63.3</v>
      </c>
      <c r="W119" s="62">
        <f t="shared" si="175"/>
        <v>31.559000000000001</v>
      </c>
      <c r="X119" s="16"/>
      <c r="Y119" s="74">
        <v>126236</v>
      </c>
      <c r="Z119" s="63">
        <f t="shared" si="186"/>
        <v>1017.1623878704914</v>
      </c>
      <c r="AA119" s="82">
        <f t="shared" si="176"/>
        <v>7.7499999999999999E-2</v>
      </c>
      <c r="AB119" s="72">
        <f t="shared" ref="AB119" si="260">AC119</f>
        <v>8.7499999999999994E-2</v>
      </c>
      <c r="AC119" s="64">
        <v>8.7499999999999994E-2</v>
      </c>
      <c r="AD119" s="16"/>
      <c r="AE119" s="17">
        <v>34486</v>
      </c>
      <c r="AF119" s="65">
        <f t="shared" si="197"/>
        <v>10.156250000000002</v>
      </c>
      <c r="AG119" s="66">
        <f t="shared" si="198"/>
        <v>15.656977975925379</v>
      </c>
      <c r="AH119" s="66">
        <f>AG119-((AG$20*AR$3)+(AR$4*AG119)+(AL119)+(20%*S119))</f>
        <v>11.094619178590762</v>
      </c>
      <c r="AI119" s="66">
        <f t="shared" si="199"/>
        <v>12.6236</v>
      </c>
      <c r="AJ119" s="66">
        <f t="shared" si="200"/>
        <v>6.4591836734693873</v>
      </c>
      <c r="AK119" s="66">
        <f t="shared" si="201"/>
        <v>10.171623878704914</v>
      </c>
      <c r="AL119" s="24">
        <f t="shared" si="182"/>
        <v>1.2155033003906248</v>
      </c>
      <c r="AM119" s="19"/>
      <c r="AN119" s="70">
        <f t="shared" ref="AN119:AO119" si="261">AN118</f>
        <v>127.74609375</v>
      </c>
      <c r="AO119" s="70">
        <f t="shared" si="261"/>
        <v>97.192000000000007</v>
      </c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86">
        <f t="shared" si="183"/>
        <v>2.3190271363222603E-3</v>
      </c>
      <c r="BE119" s="86">
        <f t="shared" si="184"/>
        <v>8.4473767858216808E-2</v>
      </c>
      <c r="BF119" s="16"/>
      <c r="BG119" s="16"/>
      <c r="BH119" s="16"/>
      <c r="BI119" s="16"/>
    </row>
    <row r="120" spans="8:61" s="6" customFormat="1" ht="19" hidden="1" customHeight="1">
      <c r="H120" s="16"/>
      <c r="I120" s="16"/>
      <c r="J120" s="16"/>
      <c r="K120" s="16"/>
      <c r="L120" s="16"/>
      <c r="M120" s="16"/>
      <c r="N120" s="17">
        <v>34578</v>
      </c>
      <c r="O120" s="71">
        <f>(O122+O118)/2</f>
        <v>129.5</v>
      </c>
      <c r="P120" s="59">
        <f t="shared" si="168"/>
        <v>23.942441860465117</v>
      </c>
      <c r="Q120" s="60">
        <f t="shared" si="169"/>
        <v>0.2490013953488372</v>
      </c>
      <c r="R120" s="18">
        <f t="shared" si="206"/>
        <v>4.1599999999999998E-2</v>
      </c>
      <c r="S120" s="60">
        <f t="shared" si="179"/>
        <v>13.651883284883723</v>
      </c>
      <c r="T120" s="61">
        <f t="shared" si="174"/>
        <v>37.59432514534884</v>
      </c>
      <c r="U120" s="16"/>
      <c r="V120" s="62">
        <v>63.4</v>
      </c>
      <c r="W120" s="62">
        <f t="shared" si="175"/>
        <v>31.559000000000001</v>
      </c>
      <c r="X120" s="16"/>
      <c r="Y120" s="16">
        <f t="shared" ref="Y120" si="262">Y119</f>
        <v>126236</v>
      </c>
      <c r="Z120" s="63">
        <f t="shared" si="186"/>
        <v>1036.3217483134852</v>
      </c>
      <c r="AA120" s="82">
        <f t="shared" si="176"/>
        <v>7.7499999999999999E-2</v>
      </c>
      <c r="AB120" s="72">
        <f t="shared" ref="AB120" si="263">AB119</f>
        <v>8.7499999999999994E-2</v>
      </c>
      <c r="AC120" s="18"/>
      <c r="AD120" s="16"/>
      <c r="AE120" s="17">
        <v>34578</v>
      </c>
      <c r="AF120" s="65">
        <f t="shared" si="197"/>
        <v>10.1171875</v>
      </c>
      <c r="AG120" s="66">
        <f t="shared" si="198"/>
        <v>15.722453282734563</v>
      </c>
      <c r="AH120" s="66">
        <f>AG120-((AG$20*AR$3)+(AR$4*AG120)+(AL120)+(20%*S120))</f>
        <v>11.083075632046093</v>
      </c>
      <c r="AI120" s="66">
        <f t="shared" si="199"/>
        <v>12.6236</v>
      </c>
      <c r="AJ120" s="66">
        <f t="shared" si="200"/>
        <v>6.4693877551020398</v>
      </c>
      <c r="AK120" s="66">
        <f t="shared" si="201"/>
        <v>10.363217483134852</v>
      </c>
      <c r="AL120" s="24">
        <f t="shared" si="182"/>
        <v>1.2401028624023436</v>
      </c>
      <c r="AM120" s="19"/>
      <c r="AN120" s="70">
        <f t="shared" si="192"/>
        <v>127.74609375</v>
      </c>
      <c r="AO120" s="70">
        <f t="shared" si="193"/>
        <v>97.192000000000007</v>
      </c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86">
        <f t="shared" si="183"/>
        <v>-1.0404635218975722E-3</v>
      </c>
      <c r="BE120" s="86">
        <f t="shared" si="184"/>
        <v>0</v>
      </c>
      <c r="BF120" s="16"/>
      <c r="BG120" s="16"/>
      <c r="BH120" s="16"/>
      <c r="BI120" s="16"/>
    </row>
    <row r="121" spans="8:61" s="6" customFormat="1" ht="19" hidden="1" customHeight="1">
      <c r="H121" s="16"/>
      <c r="I121" s="16"/>
      <c r="J121" s="16"/>
      <c r="K121" s="16"/>
      <c r="L121" s="16"/>
      <c r="M121" s="16"/>
      <c r="N121" s="17">
        <v>34669</v>
      </c>
      <c r="O121" s="68">
        <f t="shared" si="173"/>
        <v>129.5</v>
      </c>
      <c r="P121" s="59">
        <f t="shared" si="168"/>
        <v>23.942441860465117</v>
      </c>
      <c r="Q121" s="60">
        <f t="shared" si="169"/>
        <v>0.2490013953488372</v>
      </c>
      <c r="R121" s="18">
        <f t="shared" si="206"/>
        <v>4.1599999999999998E-2</v>
      </c>
      <c r="S121" s="60">
        <f t="shared" si="179"/>
        <v>13.900884680232561</v>
      </c>
      <c r="T121" s="61">
        <f t="shared" si="174"/>
        <v>37.843326540697674</v>
      </c>
      <c r="U121" s="16"/>
      <c r="V121" s="62">
        <v>63.9</v>
      </c>
      <c r="W121" s="62">
        <f t="shared" si="175"/>
        <v>32.459625000000003</v>
      </c>
      <c r="X121" s="16"/>
      <c r="Y121" s="16">
        <f t="shared" ref="Y121" si="264">(Y119+Y123)/2</f>
        <v>129838.5</v>
      </c>
      <c r="Z121" s="63">
        <f t="shared" si="186"/>
        <v>1055.8419961594757</v>
      </c>
      <c r="AA121" s="82">
        <f t="shared" si="176"/>
        <v>7.7499999999999999E-2</v>
      </c>
      <c r="AB121" s="72">
        <f t="shared" si="195"/>
        <v>8.7499999999999994E-2</v>
      </c>
      <c r="AC121" s="18"/>
      <c r="AD121" s="16"/>
      <c r="AE121" s="17">
        <v>34669</v>
      </c>
      <c r="AF121" s="65">
        <f t="shared" si="197"/>
        <v>10.1171875</v>
      </c>
      <c r="AG121" s="66">
        <f t="shared" si="198"/>
        <v>15.826589021056018</v>
      </c>
      <c r="AH121" s="66">
        <f>AG121-((AG$20*AR$3)+(AR$4*AG121)+(AL121)+(20%*S121))</f>
        <v>11.108646099753201</v>
      </c>
      <c r="AI121" s="66">
        <f t="shared" si="199"/>
        <v>12.98385</v>
      </c>
      <c r="AJ121" s="66">
        <f t="shared" si="200"/>
        <v>6.5204081632653059</v>
      </c>
      <c r="AK121" s="66">
        <f t="shared" si="201"/>
        <v>10.558419961594756</v>
      </c>
      <c r="AL121" s="24">
        <f t="shared" si="182"/>
        <v>1.2647024244140623</v>
      </c>
      <c r="AM121" s="19"/>
      <c r="AN121" s="70">
        <f t="shared" si="192"/>
        <v>127.74609375</v>
      </c>
      <c r="AO121" s="70">
        <f t="shared" si="193"/>
        <v>97.192000000000007</v>
      </c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86">
        <f t="shared" si="183"/>
        <v>2.307163512732302E-3</v>
      </c>
      <c r="BE121" s="86">
        <f t="shared" si="184"/>
        <v>2.8537818055071495E-2</v>
      </c>
      <c r="BF121" s="16"/>
      <c r="BG121" s="16"/>
      <c r="BH121" s="16"/>
      <c r="BI121" s="16"/>
    </row>
    <row r="122" spans="8:61" s="6" customFormat="1" ht="19" hidden="1" customHeight="1">
      <c r="H122" s="16"/>
      <c r="I122" s="16"/>
      <c r="J122" s="16"/>
      <c r="K122" s="16"/>
      <c r="L122" s="16"/>
      <c r="M122" s="16"/>
      <c r="N122" s="17">
        <v>34759</v>
      </c>
      <c r="O122" s="68">
        <v>129</v>
      </c>
      <c r="P122" s="59">
        <f t="shared" si="168"/>
        <v>23.85</v>
      </c>
      <c r="Q122" s="60">
        <f t="shared" si="169"/>
        <v>0.2468475</v>
      </c>
      <c r="R122" s="75">
        <v>4.1399999999999999E-2</v>
      </c>
      <c r="S122" s="60">
        <f t="shared" si="179"/>
        <v>14.147732180232561</v>
      </c>
      <c r="T122" s="61">
        <f t="shared" si="174"/>
        <v>37.99773218023256</v>
      </c>
      <c r="U122" s="16"/>
      <c r="V122" s="62">
        <v>65</v>
      </c>
      <c r="W122" s="62">
        <f t="shared" si="175"/>
        <v>32.459625000000003</v>
      </c>
      <c r="X122" s="16"/>
      <c r="Y122" s="16">
        <f t="shared" ref="Y122" si="265">Y121</f>
        <v>129838.5</v>
      </c>
      <c r="Z122" s="63">
        <f t="shared" si="186"/>
        <v>1075.7299291154129</v>
      </c>
      <c r="AA122" s="82">
        <f t="shared" si="176"/>
        <v>7.7499999999999999E-2</v>
      </c>
      <c r="AB122" s="72">
        <f t="shared" si="195"/>
        <v>8.7499999999999994E-2</v>
      </c>
      <c r="AC122" s="18"/>
      <c r="AD122" s="16"/>
      <c r="AE122" s="17">
        <v>34759</v>
      </c>
      <c r="AF122" s="65">
        <f t="shared" si="197"/>
        <v>10.078125000000002</v>
      </c>
      <c r="AG122" s="66">
        <f t="shared" si="198"/>
        <v>15.891163539810968</v>
      </c>
      <c r="AH122" s="66">
        <f>AG122-((AG$20*AR$3)+(AR$4*AG122)+(AL122)+(20%*S122))</f>
        <v>11.096763554750142</v>
      </c>
      <c r="AI122" s="66">
        <f t="shared" si="199"/>
        <v>12.98385</v>
      </c>
      <c r="AJ122" s="66">
        <f t="shared" si="200"/>
        <v>6.6326530612244889</v>
      </c>
      <c r="AK122" s="66">
        <f t="shared" si="201"/>
        <v>10.75729929115413</v>
      </c>
      <c r="AL122" s="24">
        <f t="shared" si="182"/>
        <v>1.2892070074218749</v>
      </c>
      <c r="AM122" s="19"/>
      <c r="AN122" s="73">
        <f t="shared" ref="AN122" si="266">AN121+AF122</f>
        <v>137.82421875</v>
      </c>
      <c r="AO122" s="73">
        <f t="shared" ref="AO122" si="267">AO121+AI122</f>
        <v>110.17585000000001</v>
      </c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86">
        <f t="shared" si="183"/>
        <v>-1.0696663568500187E-3</v>
      </c>
      <c r="BE122" s="86">
        <f t="shared" si="184"/>
        <v>0</v>
      </c>
      <c r="BF122" s="16"/>
      <c r="BG122" s="16"/>
      <c r="BH122" s="16"/>
      <c r="BI122" s="16"/>
    </row>
    <row r="123" spans="8:61" s="6" customFormat="1" ht="19" hidden="1" customHeight="1">
      <c r="H123" s="16"/>
      <c r="I123" s="16"/>
      <c r="J123" s="16"/>
      <c r="K123" s="16"/>
      <c r="L123" s="16"/>
      <c r="M123" s="16"/>
      <c r="N123" s="17">
        <v>34851</v>
      </c>
      <c r="O123" s="68">
        <f t="shared" ref="O123" si="268">O122</f>
        <v>129</v>
      </c>
      <c r="P123" s="59">
        <f t="shared" si="168"/>
        <v>23.85</v>
      </c>
      <c r="Q123" s="60">
        <f t="shared" si="169"/>
        <v>0.2468475</v>
      </c>
      <c r="R123" s="18">
        <f t="shared" si="206"/>
        <v>4.1399999999999999E-2</v>
      </c>
      <c r="S123" s="60">
        <f t="shared" si="179"/>
        <v>14.39457968023256</v>
      </c>
      <c r="T123" s="61">
        <f t="shared" si="174"/>
        <v>38.244579680232562</v>
      </c>
      <c r="U123" s="16"/>
      <c r="V123" s="62">
        <v>65.599999999999994</v>
      </c>
      <c r="W123" s="62">
        <f t="shared" si="175"/>
        <v>33.360250000000001</v>
      </c>
      <c r="X123" s="16"/>
      <c r="Y123" s="74">
        <v>133441</v>
      </c>
      <c r="Z123" s="63">
        <f t="shared" si="186"/>
        <v>1095.9924729304546</v>
      </c>
      <c r="AA123" s="82">
        <f t="shared" si="176"/>
        <v>9.5000000000000001E-2</v>
      </c>
      <c r="AB123" s="72">
        <f t="shared" ref="AB123" si="269">AC123</f>
        <v>0.105</v>
      </c>
      <c r="AC123" s="64">
        <v>0.105</v>
      </c>
      <c r="AD123" s="16"/>
      <c r="AE123" s="17">
        <v>34851</v>
      </c>
      <c r="AF123" s="65">
        <f t="shared" si="197"/>
        <v>10.078125000000002</v>
      </c>
      <c r="AG123" s="66">
        <f t="shared" si="198"/>
        <v>15.994398490078188</v>
      </c>
      <c r="AH123" s="66">
        <f>AG123-((AG$20*AR$3)+(AR$4*AG123)+(AL123)+(20%*S123))</f>
        <v>11.12199502399886</v>
      </c>
      <c r="AI123" s="66">
        <f t="shared" si="199"/>
        <v>13.344099999999999</v>
      </c>
      <c r="AJ123" s="66">
        <f t="shared" si="200"/>
        <v>6.6938775510204067</v>
      </c>
      <c r="AK123" s="66">
        <f t="shared" si="201"/>
        <v>10.959924729304547</v>
      </c>
      <c r="AL123" s="24">
        <f t="shared" si="182"/>
        <v>1.3137115904296874</v>
      </c>
      <c r="AM123" s="19"/>
      <c r="AN123" s="70">
        <f t="shared" ref="AN123:AO123" si="270">AN122</f>
        <v>137.82421875</v>
      </c>
      <c r="AO123" s="70">
        <f t="shared" si="270"/>
        <v>110.17585000000001</v>
      </c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86">
        <f t="shared" si="183"/>
        <v>2.2737683040852108E-3</v>
      </c>
      <c r="BE123" s="86">
        <f t="shared" si="184"/>
        <v>2.7746007540136342E-2</v>
      </c>
      <c r="BF123" s="16"/>
      <c r="BG123" s="16"/>
      <c r="BH123" s="16"/>
      <c r="BI123" s="16"/>
    </row>
    <row r="124" spans="8:61" s="6" customFormat="1" ht="19" hidden="1" customHeight="1">
      <c r="H124" s="16"/>
      <c r="I124" s="16"/>
      <c r="J124" s="16"/>
      <c r="K124" s="16"/>
      <c r="L124" s="16"/>
      <c r="M124" s="16"/>
      <c r="N124" s="17">
        <v>34943</v>
      </c>
      <c r="O124" s="71">
        <f>(O126+O122)/2</f>
        <v>130</v>
      </c>
      <c r="P124" s="59">
        <f t="shared" si="168"/>
        <v>24.034883720930235</v>
      </c>
      <c r="Q124" s="60">
        <f t="shared" si="169"/>
        <v>0.24876104651162792</v>
      </c>
      <c r="R124" s="18">
        <f t="shared" si="206"/>
        <v>4.1399999999999999E-2</v>
      </c>
      <c r="S124" s="60">
        <f t="shared" si="179"/>
        <v>14.643340726744189</v>
      </c>
      <c r="T124" s="61">
        <f t="shared" si="174"/>
        <v>38.678224447674424</v>
      </c>
      <c r="U124" s="16"/>
      <c r="V124" s="62">
        <v>66.400000000000006</v>
      </c>
      <c r="W124" s="62">
        <f t="shared" si="175"/>
        <v>33.360250000000001</v>
      </c>
      <c r="X124" s="16"/>
      <c r="Y124" s="16">
        <f t="shared" ref="Y124" si="271">Y123</f>
        <v>133441</v>
      </c>
      <c r="Z124" s="63">
        <f t="shared" si="186"/>
        <v>1121.1432364787192</v>
      </c>
      <c r="AA124" s="82">
        <f t="shared" si="176"/>
        <v>9.5000000000000001E-2</v>
      </c>
      <c r="AB124" s="72">
        <f t="shared" ref="AB124" si="272">AB123</f>
        <v>0.105</v>
      </c>
      <c r="AC124" s="18"/>
      <c r="AD124" s="16"/>
      <c r="AE124" s="17">
        <v>34943</v>
      </c>
      <c r="AF124" s="65">
        <f t="shared" si="197"/>
        <v>10.156250000000002</v>
      </c>
      <c r="AG124" s="66">
        <f t="shared" si="198"/>
        <v>16.17575457430226</v>
      </c>
      <c r="AH124" s="66">
        <f>AG124-((AG$20*AR$3)+(AR$4*AG124)+(AL124)+(20%*S124))</f>
        <v>11.22165011453602</v>
      </c>
      <c r="AI124" s="66">
        <f t="shared" si="199"/>
        <v>13.344099999999999</v>
      </c>
      <c r="AJ124" s="66">
        <f t="shared" si="200"/>
        <v>6.7755102040816331</v>
      </c>
      <c r="AK124" s="66">
        <f t="shared" si="201"/>
        <v>11.211432364787193</v>
      </c>
      <c r="AL124" s="24">
        <f t="shared" si="182"/>
        <v>1.3384061314453124</v>
      </c>
      <c r="AM124" s="19"/>
      <c r="AN124" s="70">
        <f t="shared" si="192"/>
        <v>137.82421875</v>
      </c>
      <c r="AO124" s="70">
        <f t="shared" si="193"/>
        <v>110.17585000000001</v>
      </c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86">
        <f t="shared" si="183"/>
        <v>8.9601811835129386E-3</v>
      </c>
      <c r="BE124" s="86">
        <f t="shared" si="184"/>
        <v>0</v>
      </c>
      <c r="BF124" s="16"/>
      <c r="BG124" s="16"/>
      <c r="BH124" s="16"/>
      <c r="BI124" s="16"/>
    </row>
    <row r="125" spans="8:61" s="6" customFormat="1" ht="19" hidden="1" customHeight="1">
      <c r="H125" s="16"/>
      <c r="I125" s="16"/>
      <c r="J125" s="16"/>
      <c r="K125" s="16"/>
      <c r="L125" s="16"/>
      <c r="M125" s="16"/>
      <c r="N125" s="17">
        <v>35034</v>
      </c>
      <c r="O125" s="68">
        <f>O124+0.3</f>
        <v>130.30000000000001</v>
      </c>
      <c r="P125" s="59">
        <f>(O125/O$150)*P$150</f>
        <v>24.090348837209305</v>
      </c>
      <c r="Q125" s="60">
        <f t="shared" si="169"/>
        <v>0.24933511046511631</v>
      </c>
      <c r="R125" s="18">
        <f t="shared" si="206"/>
        <v>4.1399999999999999E-2</v>
      </c>
      <c r="S125" s="60">
        <f t="shared" si="179"/>
        <v>14.892675837209305</v>
      </c>
      <c r="T125" s="61">
        <f t="shared" si="174"/>
        <v>38.983024674418608</v>
      </c>
      <c r="U125" s="16"/>
      <c r="V125" s="62">
        <v>66.900000000000006</v>
      </c>
      <c r="W125" s="62">
        <f t="shared" si="175"/>
        <v>36.000875000000001</v>
      </c>
      <c r="X125" s="16"/>
      <c r="Y125" s="16">
        <f t="shared" ref="Y125" si="273">(Y123+Y127)/2</f>
        <v>144003.5</v>
      </c>
      <c r="Z125" s="63">
        <f t="shared" si="186"/>
        <v>1146.8711581030511</v>
      </c>
      <c r="AA125" s="82">
        <f t="shared" si="176"/>
        <v>9.5000000000000001E-2</v>
      </c>
      <c r="AB125" s="72">
        <f t="shared" si="195"/>
        <v>0.105</v>
      </c>
      <c r="AC125" s="18"/>
      <c r="AD125" s="16"/>
      <c r="AE125" s="17">
        <v>35034</v>
      </c>
      <c r="AF125" s="65">
        <f t="shared" si="197"/>
        <v>10.179687500000002</v>
      </c>
      <c r="AG125" s="66">
        <f t="shared" si="198"/>
        <v>16.303226135688838</v>
      </c>
      <c r="AH125" s="66">
        <f>AG125-((AG$20*AR$3)+(AR$4*AG125)+(AL125)+(20%*S125))</f>
        <v>11.269404262956142</v>
      </c>
      <c r="AI125" s="66">
        <f t="shared" si="199"/>
        <v>14.40035</v>
      </c>
      <c r="AJ125" s="66">
        <f t="shared" si="200"/>
        <v>6.8265306122448983</v>
      </c>
      <c r="AK125" s="66">
        <f t="shared" si="201"/>
        <v>11.468711581030512</v>
      </c>
      <c r="AL125" s="24">
        <f t="shared" si="182"/>
        <v>1.3631576598632811</v>
      </c>
      <c r="AM125" s="19"/>
      <c r="AN125" s="70">
        <f t="shared" si="192"/>
        <v>137.82421875</v>
      </c>
      <c r="AO125" s="70">
        <f t="shared" si="193"/>
        <v>110.17585000000001</v>
      </c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86">
        <f t="shared" si="183"/>
        <v>4.2555371030739142E-3</v>
      </c>
      <c r="BE125" s="86">
        <f t="shared" si="184"/>
        <v>7.9154832472778214E-2</v>
      </c>
      <c r="BF125" s="16"/>
      <c r="BG125" s="16"/>
      <c r="BH125" s="16"/>
      <c r="BI125" s="16"/>
    </row>
    <row r="126" spans="8:61" s="6" customFormat="1" ht="19" hidden="1" customHeight="1">
      <c r="H126" s="16"/>
      <c r="I126" s="16"/>
      <c r="J126" s="16"/>
      <c r="K126" s="16"/>
      <c r="L126" s="16"/>
      <c r="M126" s="16"/>
      <c r="N126" s="17">
        <v>35125</v>
      </c>
      <c r="O126" s="68">
        <v>131</v>
      </c>
      <c r="P126" s="59">
        <f t="shared" si="168"/>
        <v>24.219767441860466</v>
      </c>
      <c r="Q126" s="60">
        <f t="shared" si="169"/>
        <v>0.25430755813953493</v>
      </c>
      <c r="R126" s="75">
        <v>4.2000000000000003E-2</v>
      </c>
      <c r="S126" s="60">
        <f t="shared" si="179"/>
        <v>15.14698339534884</v>
      </c>
      <c r="T126" s="61">
        <f t="shared" si="174"/>
        <v>39.36675083720931</v>
      </c>
      <c r="U126" s="16"/>
      <c r="V126" s="62">
        <v>66.8</v>
      </c>
      <c r="W126" s="62">
        <f t="shared" si="175"/>
        <v>36.000875000000001</v>
      </c>
      <c r="X126" s="16"/>
      <c r="Y126" s="16">
        <f t="shared" ref="Y126" si="274">Y125</f>
        <v>144003.5</v>
      </c>
      <c r="Z126" s="63">
        <f t="shared" si="186"/>
        <v>1173.1894823892112</v>
      </c>
      <c r="AA126" s="82">
        <f t="shared" si="176"/>
        <v>9.5000000000000001E-2</v>
      </c>
      <c r="AB126" s="72">
        <f t="shared" si="195"/>
        <v>0.105</v>
      </c>
      <c r="AC126" s="18"/>
      <c r="AD126" s="16"/>
      <c r="AE126" s="17">
        <v>35125</v>
      </c>
      <c r="AF126" s="65">
        <f t="shared" si="197"/>
        <v>10.234375</v>
      </c>
      <c r="AG126" s="66">
        <f t="shared" si="198"/>
        <v>16.463705586896282</v>
      </c>
      <c r="AH126" s="66">
        <f>AG126-((AG$20*AR$3)+(AR$4*AG126)+(AL126)+(20%*S126))</f>
        <v>11.347718525463943</v>
      </c>
      <c r="AI126" s="66">
        <f t="shared" si="199"/>
        <v>14.40035</v>
      </c>
      <c r="AJ126" s="66">
        <f t="shared" si="200"/>
        <v>6.816326530612244</v>
      </c>
      <c r="AK126" s="66">
        <f t="shared" si="201"/>
        <v>11.731894823892112</v>
      </c>
      <c r="AL126" s="24">
        <f t="shared" si="182"/>
        <v>1.3880421588867187</v>
      </c>
      <c r="AM126" s="19"/>
      <c r="AN126" s="73">
        <f t="shared" ref="AN126" si="275">AN125+AF126</f>
        <v>148.05859375</v>
      </c>
      <c r="AO126" s="73">
        <f t="shared" ref="AO126" si="276">AO125+AI126</f>
        <v>124.57620000000001</v>
      </c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86">
        <f t="shared" si="183"/>
        <v>6.9492814953164839E-3</v>
      </c>
      <c r="BE126" s="86">
        <f t="shared" si="184"/>
        <v>0</v>
      </c>
      <c r="BF126" s="16"/>
      <c r="BG126" s="16"/>
      <c r="BH126" s="16"/>
      <c r="BI126" s="16"/>
    </row>
    <row r="127" spans="8:61" s="6" customFormat="1" ht="19" hidden="1" customHeight="1">
      <c r="H127" s="16"/>
      <c r="I127" s="16"/>
      <c r="J127" s="16"/>
      <c r="K127" s="16"/>
      <c r="L127" s="16"/>
      <c r="M127" s="16"/>
      <c r="N127" s="17">
        <v>35217</v>
      </c>
      <c r="O127" s="68">
        <f t="shared" ref="O127" si="277">O126</f>
        <v>131</v>
      </c>
      <c r="P127" s="59">
        <f t="shared" si="168"/>
        <v>24.219767441860466</v>
      </c>
      <c r="Q127" s="60">
        <f t="shared" si="169"/>
        <v>0.25430755813953493</v>
      </c>
      <c r="R127" s="18">
        <f t="shared" si="206"/>
        <v>4.2000000000000003E-2</v>
      </c>
      <c r="S127" s="60">
        <f t="shared" si="179"/>
        <v>15.401290953488376</v>
      </c>
      <c r="T127" s="61">
        <f t="shared" si="174"/>
        <v>39.62105839534884</v>
      </c>
      <c r="U127" s="16"/>
      <c r="V127" s="62">
        <v>67.3</v>
      </c>
      <c r="W127" s="62">
        <f t="shared" si="175"/>
        <v>38.641500000000001</v>
      </c>
      <c r="X127" s="16"/>
      <c r="Y127" s="74">
        <v>154566</v>
      </c>
      <c r="Z127" s="63">
        <f t="shared" si="186"/>
        <v>1200.111757858848</v>
      </c>
      <c r="AA127" s="82">
        <f t="shared" si="176"/>
        <v>8.7500000000000008E-2</v>
      </c>
      <c r="AB127" s="72">
        <f t="shared" ref="AB127" si="278">AC127</f>
        <v>9.7500000000000003E-2</v>
      </c>
      <c r="AC127" s="64">
        <v>9.7500000000000003E-2</v>
      </c>
      <c r="AD127" s="16"/>
      <c r="AE127" s="17">
        <v>35217</v>
      </c>
      <c r="AF127" s="65">
        <f t="shared" si="197"/>
        <v>10.234375</v>
      </c>
      <c r="AG127" s="66">
        <f t="shared" si="198"/>
        <v>16.570060433986541</v>
      </c>
      <c r="AH127" s="66">
        <f>AG127-((AG$20*AR$3)+(AR$4*AG127)+(AL127)+(20%*S127))</f>
        <v>11.374073168019248</v>
      </c>
      <c r="AI127" s="66">
        <f t="shared" si="199"/>
        <v>15.4566</v>
      </c>
      <c r="AJ127" s="66">
        <f t="shared" si="200"/>
        <v>6.8673469387755093</v>
      </c>
      <c r="AK127" s="66">
        <f t="shared" si="201"/>
        <v>12.001117578588481</v>
      </c>
      <c r="AL127" s="24">
        <f t="shared" si="182"/>
        <v>1.4129266579101563</v>
      </c>
      <c r="AM127" s="19"/>
      <c r="AN127" s="70">
        <f t="shared" ref="AN127:AO127" si="279">AN126</f>
        <v>148.05859375</v>
      </c>
      <c r="AO127" s="70">
        <f t="shared" si="279"/>
        <v>124.57620000000001</v>
      </c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86">
        <f t="shared" si="183"/>
        <v>2.3224617790937874E-3</v>
      </c>
      <c r="BE127" s="86">
        <f t="shared" si="184"/>
        <v>7.3348911658397187E-2</v>
      </c>
      <c r="BF127" s="16"/>
      <c r="BG127" s="16"/>
      <c r="BH127" s="16"/>
      <c r="BI127" s="16"/>
    </row>
    <row r="128" spans="8:61" s="6" customFormat="1" ht="19" hidden="1" customHeight="1">
      <c r="H128" s="16"/>
      <c r="I128" s="16"/>
      <c r="J128" s="16"/>
      <c r="K128" s="16"/>
      <c r="L128" s="16"/>
      <c r="M128" s="16"/>
      <c r="N128" s="17">
        <v>35309</v>
      </c>
      <c r="O128" s="71">
        <f>(O130+O126)/2</f>
        <v>136.5</v>
      </c>
      <c r="P128" s="59">
        <f t="shared" si="168"/>
        <v>25.236627906976747</v>
      </c>
      <c r="Q128" s="60">
        <f t="shared" si="169"/>
        <v>0.26498459302325583</v>
      </c>
      <c r="R128" s="18">
        <f t="shared" si="206"/>
        <v>4.2000000000000003E-2</v>
      </c>
      <c r="S128" s="60">
        <f t="shared" si="179"/>
        <v>15.666275546511631</v>
      </c>
      <c r="T128" s="61">
        <f t="shared" si="174"/>
        <v>40.902903453488378</v>
      </c>
      <c r="U128" s="16"/>
      <c r="V128" s="62">
        <v>67.599999999999994</v>
      </c>
      <c r="W128" s="62">
        <f t="shared" si="175"/>
        <v>38.641500000000001</v>
      </c>
      <c r="X128" s="16"/>
      <c r="Y128" s="16">
        <f t="shared" ref="Y128" si="280">Y127</f>
        <v>154566</v>
      </c>
      <c r="Z128" s="63">
        <f t="shared" si="186"/>
        <v>1225.5442793596237</v>
      </c>
      <c r="AA128" s="82">
        <f t="shared" si="176"/>
        <v>8.7500000000000008E-2</v>
      </c>
      <c r="AB128" s="72">
        <f t="shared" ref="AB128" si="281">AB127</f>
        <v>9.7500000000000003E-2</v>
      </c>
      <c r="AC128" s="18"/>
      <c r="AD128" s="16"/>
      <c r="AE128" s="17">
        <v>35309</v>
      </c>
      <c r="AF128" s="65">
        <f t="shared" si="197"/>
        <v>10.664062500000002</v>
      </c>
      <c r="AG128" s="66">
        <f t="shared" si="198"/>
        <v>17.106145307551468</v>
      </c>
      <c r="AH128" s="66">
        <f>AG128-((AG$20*AR$3)+(AR$4*AG128)+(AL128)+(20%*S128))</f>
        <v>11.80978845997052</v>
      </c>
      <c r="AI128" s="66">
        <f t="shared" si="199"/>
        <v>15.4566</v>
      </c>
      <c r="AJ128" s="66">
        <f t="shared" si="200"/>
        <v>6.8979591836734686</v>
      </c>
      <c r="AK128" s="66">
        <f t="shared" si="201"/>
        <v>12.255442793596238</v>
      </c>
      <c r="AL128" s="24">
        <f t="shared" si="182"/>
        <v>1.4388559259765625</v>
      </c>
      <c r="AM128" s="19"/>
      <c r="AN128" s="70">
        <f t="shared" si="192"/>
        <v>148.05859375</v>
      </c>
      <c r="AO128" s="70">
        <f t="shared" si="193"/>
        <v>124.57620000000001</v>
      </c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86">
        <f t="shared" si="183"/>
        <v>3.8307762356970088E-2</v>
      </c>
      <c r="BE128" s="86">
        <f t="shared" si="184"/>
        <v>0</v>
      </c>
      <c r="BF128" s="16"/>
      <c r="BG128" s="16"/>
      <c r="BH128" s="16"/>
      <c r="BI128" s="16"/>
    </row>
    <row r="129" spans="8:61" s="6" customFormat="1" ht="19" hidden="1" customHeight="1">
      <c r="H129" s="16"/>
      <c r="I129" s="16"/>
      <c r="J129" s="16"/>
      <c r="K129" s="16"/>
      <c r="L129" s="16"/>
      <c r="M129" s="16"/>
      <c r="N129" s="17">
        <v>35400</v>
      </c>
      <c r="O129" s="68">
        <f>O128+0.3</f>
        <v>136.80000000000001</v>
      </c>
      <c r="P129" s="59">
        <f>(O129/O$150)*P$150</f>
        <v>25.29209302325582</v>
      </c>
      <c r="Q129" s="60">
        <f t="shared" si="169"/>
        <v>0.26556697674418611</v>
      </c>
      <c r="R129" s="18">
        <f t="shared" si="206"/>
        <v>4.2000000000000003E-2</v>
      </c>
      <c r="S129" s="60">
        <f t="shared" si="179"/>
        <v>15.931842523255817</v>
      </c>
      <c r="T129" s="61">
        <f t="shared" si="174"/>
        <v>41.22393554651164</v>
      </c>
      <c r="U129" s="16"/>
      <c r="V129" s="62">
        <v>67.7</v>
      </c>
      <c r="W129" s="62">
        <f t="shared" si="175"/>
        <v>43.77375</v>
      </c>
      <c r="X129" s="16"/>
      <c r="Y129" s="16">
        <f t="shared" ref="Y129" si="282">(Y127+Y131)/2</f>
        <v>175095</v>
      </c>
      <c r="Z129" s="63">
        <f t="shared" si="186"/>
        <v>1251.515761624388</v>
      </c>
      <c r="AA129" s="82">
        <f t="shared" si="176"/>
        <v>8.7500000000000008E-2</v>
      </c>
      <c r="AB129" s="72">
        <f t="shared" si="195"/>
        <v>9.7500000000000003E-2</v>
      </c>
      <c r="AC129" s="18"/>
      <c r="AD129" s="16"/>
      <c r="AE129" s="17">
        <v>35400</v>
      </c>
      <c r="AF129" s="65">
        <f t="shared" si="197"/>
        <v>10.687500000000004</v>
      </c>
      <c r="AG129" s="66">
        <f t="shared" si="198"/>
        <v>17.240405254107291</v>
      </c>
      <c r="AH129" s="66">
        <f>AG129-((AG$20*AR$3)+(AR$4*AG129)+(AL129)+(20%*S129))</f>
        <v>11.859578357846523</v>
      </c>
      <c r="AI129" s="66">
        <f t="shared" si="199"/>
        <v>17.509499999999999</v>
      </c>
      <c r="AJ129" s="66">
        <f t="shared" si="200"/>
        <v>6.908163265306122</v>
      </c>
      <c r="AK129" s="66">
        <f t="shared" si="201"/>
        <v>12.515157616243879</v>
      </c>
      <c r="AL129" s="24">
        <f t="shared" si="182"/>
        <v>1.4648421814453125</v>
      </c>
      <c r="AM129" s="19"/>
      <c r="AN129" s="70">
        <f t="shared" si="192"/>
        <v>148.05859375</v>
      </c>
      <c r="AO129" s="70">
        <f t="shared" si="193"/>
        <v>124.57620000000001</v>
      </c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86">
        <f t="shared" si="183"/>
        <v>4.2159855821946035E-3</v>
      </c>
      <c r="BE129" s="86">
        <f t="shared" si="184"/>
        <v>0.13281704902759972</v>
      </c>
      <c r="BF129" s="16"/>
      <c r="BG129" s="16"/>
      <c r="BH129" s="16"/>
      <c r="BI129" s="16"/>
    </row>
    <row r="130" spans="8:61" s="6" customFormat="1" ht="19" hidden="1" customHeight="1">
      <c r="H130" s="16"/>
      <c r="I130" s="16"/>
      <c r="J130" s="16"/>
      <c r="K130" s="16"/>
      <c r="L130" s="16"/>
      <c r="M130" s="16"/>
      <c r="N130" s="17">
        <v>35490</v>
      </c>
      <c r="O130" s="68">
        <v>142</v>
      </c>
      <c r="P130" s="59">
        <f t="shared" si="168"/>
        <v>26.253488372093024</v>
      </c>
      <c r="Q130" s="60">
        <f t="shared" si="169"/>
        <v>0.27763063953488371</v>
      </c>
      <c r="R130" s="75">
        <v>4.2299999999999997E-2</v>
      </c>
      <c r="S130" s="60">
        <f t="shared" si="179"/>
        <v>16.209473162790701</v>
      </c>
      <c r="T130" s="61">
        <f t="shared" si="174"/>
        <v>42.462961534883725</v>
      </c>
      <c r="U130" s="16"/>
      <c r="V130" s="62">
        <v>67.8</v>
      </c>
      <c r="W130" s="62">
        <f t="shared" si="175"/>
        <v>43.77375</v>
      </c>
      <c r="X130" s="16"/>
      <c r="Y130" s="16">
        <f t="shared" ref="Y130" si="283">Y129</f>
        <v>175095</v>
      </c>
      <c r="Z130" s="63">
        <f t="shared" si="186"/>
        <v>1278.0376261987833</v>
      </c>
      <c r="AA130" s="82">
        <f t="shared" si="176"/>
        <v>8.7500000000000008E-2</v>
      </c>
      <c r="AB130" s="72">
        <f t="shared" si="195"/>
        <v>9.7500000000000003E-2</v>
      </c>
      <c r="AC130" s="18"/>
      <c r="AD130" s="16"/>
      <c r="AE130" s="17">
        <v>35490</v>
      </c>
      <c r="AF130" s="65">
        <f t="shared" si="197"/>
        <v>11.09375</v>
      </c>
      <c r="AG130" s="66">
        <f t="shared" si="198"/>
        <v>17.758582615795728</v>
      </c>
      <c r="AH130" s="66">
        <f>AG130-((AG$20*AR$3)+(AR$4*AG130)+(AL130)+(20%*S130))</f>
        <v>12.274528460051071</v>
      </c>
      <c r="AI130" s="66">
        <f t="shared" si="199"/>
        <v>17.509499999999999</v>
      </c>
      <c r="AJ130" s="66">
        <f t="shared" si="200"/>
        <v>6.9183673469387745</v>
      </c>
      <c r="AK130" s="66">
        <f t="shared" si="201"/>
        <v>12.780376261987833</v>
      </c>
      <c r="AL130" s="24">
        <f t="shared" si="182"/>
        <v>1.4918162185546875</v>
      </c>
      <c r="AM130" s="19"/>
      <c r="AN130" s="73">
        <f t="shared" ref="AN130" si="284">AN129+AF130</f>
        <v>159.15234375</v>
      </c>
      <c r="AO130" s="73">
        <f t="shared" ref="AO130" si="285">AO129+AI130</f>
        <v>142.0857</v>
      </c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86">
        <f t="shared" si="183"/>
        <v>3.4988604964189873E-2</v>
      </c>
      <c r="BE130" s="86">
        <f t="shared" si="184"/>
        <v>0</v>
      </c>
      <c r="BF130" s="16"/>
      <c r="BG130" s="16"/>
      <c r="BH130" s="16"/>
      <c r="BI130" s="16"/>
    </row>
    <row r="131" spans="8:61" s="6" customFormat="1" ht="19" hidden="1" customHeight="1">
      <c r="H131" s="16"/>
      <c r="I131" s="16"/>
      <c r="J131" s="16"/>
      <c r="K131" s="16"/>
      <c r="L131" s="16"/>
      <c r="M131" s="16"/>
      <c r="N131" s="17">
        <v>35582</v>
      </c>
      <c r="O131" s="68">
        <v>145</v>
      </c>
      <c r="P131" s="59">
        <f t="shared" si="168"/>
        <v>26.808139534883722</v>
      </c>
      <c r="Q131" s="60">
        <f t="shared" si="169"/>
        <v>0.28349607558139533</v>
      </c>
      <c r="R131" s="18">
        <f t="shared" si="206"/>
        <v>4.2299999999999997E-2</v>
      </c>
      <c r="S131" s="60">
        <f t="shared" si="179"/>
        <v>16.492969238372098</v>
      </c>
      <c r="T131" s="61">
        <f t="shared" si="174"/>
        <v>43.30110877325582</v>
      </c>
      <c r="U131" s="16"/>
      <c r="V131" s="62">
        <v>67.7</v>
      </c>
      <c r="W131" s="62">
        <f t="shared" si="175"/>
        <v>48.905999999999999</v>
      </c>
      <c r="X131" s="16"/>
      <c r="Y131" s="74">
        <v>195624</v>
      </c>
      <c r="Z131" s="63">
        <f t="shared" si="186"/>
        <v>1305.1215366714976</v>
      </c>
      <c r="AA131" s="82">
        <f t="shared" si="176"/>
        <v>6.1999999999999993E-2</v>
      </c>
      <c r="AB131" s="72">
        <f t="shared" ref="AB131" si="286">AC131</f>
        <v>7.1999999999999995E-2</v>
      </c>
      <c r="AC131" s="64">
        <v>7.1999999999999995E-2</v>
      </c>
      <c r="AD131" s="16"/>
      <c r="AE131" s="17">
        <v>35582</v>
      </c>
      <c r="AF131" s="65">
        <f t="shared" si="197"/>
        <v>11.328125</v>
      </c>
      <c r="AG131" s="66">
        <f t="shared" si="198"/>
        <v>18.109107083209622</v>
      </c>
      <c r="AH131" s="66">
        <f>AG131-((AG$20*AR$3)+(AR$4*AG131)+(AL131)+(20%*S131))</f>
        <v>12.526788822519318</v>
      </c>
      <c r="AI131" s="66">
        <f t="shared" si="199"/>
        <v>19.5624</v>
      </c>
      <c r="AJ131" s="66">
        <f t="shared" si="200"/>
        <v>6.908163265306122</v>
      </c>
      <c r="AK131" s="66">
        <f t="shared" si="201"/>
        <v>13.051215366714976</v>
      </c>
      <c r="AL131" s="24">
        <f t="shared" si="182"/>
        <v>1.5193601296874999</v>
      </c>
      <c r="AM131" s="19"/>
      <c r="AN131" s="70">
        <f t="shared" ref="AN131:AO131" si="287">AN130</f>
        <v>159.15234375</v>
      </c>
      <c r="AO131" s="70">
        <f t="shared" si="287"/>
        <v>142.0857</v>
      </c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86">
        <f t="shared" si="183"/>
        <v>2.0551531840042436E-2</v>
      </c>
      <c r="BE131" s="86">
        <f t="shared" si="184"/>
        <v>0.11724492418401455</v>
      </c>
      <c r="BF131" s="16"/>
      <c r="BG131" s="16"/>
      <c r="BH131" s="16"/>
      <c r="BI131" s="16"/>
    </row>
    <row r="132" spans="8:61" s="6" customFormat="1" ht="19" hidden="1" customHeight="1">
      <c r="H132" s="16"/>
      <c r="I132" s="16"/>
      <c r="J132" s="16"/>
      <c r="K132" s="16"/>
      <c r="L132" s="16"/>
      <c r="M132" s="16"/>
      <c r="N132" s="17">
        <v>35674</v>
      </c>
      <c r="O132" s="71">
        <f>(O134+O130)/2</f>
        <v>148.5</v>
      </c>
      <c r="P132" s="59">
        <f t="shared" si="168"/>
        <v>27.455232558139539</v>
      </c>
      <c r="Q132" s="60">
        <f t="shared" si="169"/>
        <v>0.29033908430232558</v>
      </c>
      <c r="R132" s="18">
        <f t="shared" si="206"/>
        <v>4.2299999999999997E-2</v>
      </c>
      <c r="S132" s="60">
        <f t="shared" si="179"/>
        <v>16.783308322674422</v>
      </c>
      <c r="T132" s="61">
        <f t="shared" si="174"/>
        <v>44.238540880813957</v>
      </c>
      <c r="U132" s="16"/>
      <c r="V132" s="62">
        <v>67.5</v>
      </c>
      <c r="W132" s="62">
        <f t="shared" si="175"/>
        <v>48.905999999999999</v>
      </c>
      <c r="X132" s="16"/>
      <c r="Y132" s="16">
        <f t="shared" ref="Y132" si="288">Y131</f>
        <v>195624</v>
      </c>
      <c r="Z132" s="63">
        <f t="shared" si="186"/>
        <v>1324.8969047725268</v>
      </c>
      <c r="AA132" s="82">
        <f t="shared" si="176"/>
        <v>6.1999999999999993E-2</v>
      </c>
      <c r="AB132" s="72">
        <f t="shared" ref="AB132" si="289">AB131</f>
        <v>7.1999999999999995E-2</v>
      </c>
      <c r="AC132" s="18"/>
      <c r="AD132" s="16"/>
      <c r="AE132" s="17">
        <v>35674</v>
      </c>
      <c r="AF132" s="65">
        <f t="shared" si="197"/>
        <v>11.601562500000002</v>
      </c>
      <c r="AG132" s="66">
        <f t="shared" si="198"/>
        <v>18.501153820578487</v>
      </c>
      <c r="AH132" s="66">
        <f>AG132-((AG$20*AR$3)+(AR$4*AG132)+(AL132)+(20%*S132))</f>
        <v>12.816877109372808</v>
      </c>
      <c r="AI132" s="66">
        <f t="shared" si="199"/>
        <v>19.5624</v>
      </c>
      <c r="AJ132" s="66">
        <f t="shared" si="200"/>
        <v>6.8877551020408161</v>
      </c>
      <c r="AK132" s="66">
        <f t="shared" si="201"/>
        <v>13.248969047725268</v>
      </c>
      <c r="AL132" s="24">
        <f t="shared" si="182"/>
        <v>1.5475688938476562</v>
      </c>
      <c r="AM132" s="19"/>
      <c r="AN132" s="70">
        <f t="shared" si="192"/>
        <v>159.15234375</v>
      </c>
      <c r="AO132" s="70">
        <f t="shared" si="193"/>
        <v>142.0857</v>
      </c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86">
        <f t="shared" si="183"/>
        <v>2.315743411687432E-2</v>
      </c>
      <c r="BE132" s="86">
        <f t="shared" si="184"/>
        <v>0</v>
      </c>
      <c r="BF132" s="16"/>
      <c r="BG132" s="16"/>
      <c r="BH132" s="16"/>
      <c r="BI132" s="16"/>
    </row>
    <row r="133" spans="8:61" s="6" customFormat="1" ht="19" hidden="1" customHeight="1">
      <c r="H133" s="16"/>
      <c r="I133" s="16"/>
      <c r="J133" s="16"/>
      <c r="K133" s="16"/>
      <c r="L133" s="16"/>
      <c r="M133" s="16"/>
      <c r="N133" s="17">
        <v>35765</v>
      </c>
      <c r="O133" s="68">
        <f t="shared" si="173"/>
        <v>148.5</v>
      </c>
      <c r="P133" s="59">
        <f t="shared" si="168"/>
        <v>27.455232558139539</v>
      </c>
      <c r="Q133" s="60">
        <f t="shared" si="169"/>
        <v>0.29033908430232558</v>
      </c>
      <c r="R133" s="18">
        <f t="shared" si="206"/>
        <v>4.2299999999999997E-2</v>
      </c>
      <c r="S133" s="60">
        <f t="shared" si="179"/>
        <v>17.073647406976747</v>
      </c>
      <c r="T133" s="61">
        <f t="shared" si="174"/>
        <v>44.528879965116289</v>
      </c>
      <c r="U133" s="16"/>
      <c r="V133" s="62">
        <v>67.7</v>
      </c>
      <c r="W133" s="62">
        <f t="shared" si="175"/>
        <v>49.306874999999998</v>
      </c>
      <c r="X133" s="16"/>
      <c r="Y133" s="16">
        <f t="shared" ref="Y133" si="290">(Y131+Y135)/2</f>
        <v>197227.5</v>
      </c>
      <c r="Z133" s="63">
        <f t="shared" si="186"/>
        <v>1344.9719117750246</v>
      </c>
      <c r="AA133" s="82">
        <f t="shared" si="176"/>
        <v>6.1999999999999993E-2</v>
      </c>
      <c r="AB133" s="72">
        <f t="shared" si="195"/>
        <v>7.1999999999999995E-2</v>
      </c>
      <c r="AC133" s="18"/>
      <c r="AD133" s="16"/>
      <c r="AE133" s="17">
        <v>35765</v>
      </c>
      <c r="AF133" s="65">
        <f t="shared" si="197"/>
        <v>11.601562500000002</v>
      </c>
      <c r="AG133" s="66">
        <f t="shared" si="198"/>
        <v>18.622577537361447</v>
      </c>
      <c r="AH133" s="66">
        <f>AG133-((AG$20*AR$3)+(AR$4*AG133)+(AL133)+(20%*S133))</f>
        <v>12.847167296463827</v>
      </c>
      <c r="AI133" s="66">
        <f t="shared" si="199"/>
        <v>19.722750000000001</v>
      </c>
      <c r="AJ133" s="66">
        <f t="shared" si="200"/>
        <v>6.908163265306122</v>
      </c>
      <c r="AK133" s="66">
        <f t="shared" si="201"/>
        <v>13.449719117750247</v>
      </c>
      <c r="AL133" s="24">
        <f t="shared" si="182"/>
        <v>1.5757776580078124</v>
      </c>
      <c r="AM133" s="19"/>
      <c r="AN133" s="70">
        <f t="shared" si="192"/>
        <v>159.15234375</v>
      </c>
      <c r="AO133" s="70">
        <f t="shared" si="193"/>
        <v>142.0857</v>
      </c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86">
        <f t="shared" si="183"/>
        <v>2.3633047919970895E-3</v>
      </c>
      <c r="BE133" s="86">
        <f t="shared" si="184"/>
        <v>8.1968470126365656E-3</v>
      </c>
      <c r="BF133" s="16"/>
      <c r="BG133" s="16"/>
      <c r="BH133" s="16"/>
      <c r="BI133" s="16"/>
    </row>
    <row r="134" spans="8:61" s="6" customFormat="1" ht="19" hidden="1" customHeight="1">
      <c r="H134" s="16"/>
      <c r="I134" s="16"/>
      <c r="J134" s="16"/>
      <c r="K134" s="16"/>
      <c r="L134" s="16"/>
      <c r="M134" s="16"/>
      <c r="N134" s="17">
        <v>35855</v>
      </c>
      <c r="O134" s="68">
        <v>155</v>
      </c>
      <c r="P134" s="59">
        <f t="shared" si="168"/>
        <v>28.656976744186046</v>
      </c>
      <c r="Q134" s="60">
        <f t="shared" si="169"/>
        <v>0.29086831395348833</v>
      </c>
      <c r="R134" s="75">
        <v>4.0599999999999997E-2</v>
      </c>
      <c r="S134" s="60">
        <f t="shared" si="179"/>
        <v>17.364515720930235</v>
      </c>
      <c r="T134" s="61">
        <f t="shared" si="174"/>
        <v>46.021492465116282</v>
      </c>
      <c r="U134" s="16"/>
      <c r="V134" s="62">
        <v>67.599999999999994</v>
      </c>
      <c r="W134" s="62">
        <f t="shared" si="175"/>
        <v>49.306874999999998</v>
      </c>
      <c r="X134" s="16"/>
      <c r="Y134" s="16">
        <f t="shared" ref="Y134" si="291">Y133</f>
        <v>197227.5</v>
      </c>
      <c r="Z134" s="63">
        <f t="shared" si="186"/>
        <v>1365.3510978458701</v>
      </c>
      <c r="AA134" s="82">
        <f t="shared" si="176"/>
        <v>6.1999999999999993E-2</v>
      </c>
      <c r="AB134" s="72">
        <f t="shared" si="195"/>
        <v>7.1999999999999995E-2</v>
      </c>
      <c r="AC134" s="18"/>
      <c r="AD134" s="16"/>
      <c r="AE134" s="17">
        <v>35855</v>
      </c>
      <c r="AF134" s="65">
        <f t="shared" si="197"/>
        <v>12.109375</v>
      </c>
      <c r="AG134" s="66">
        <f t="shared" si="198"/>
        <v>19.246808194774349</v>
      </c>
      <c r="AH134" s="66">
        <f>AG134-((AG$20*AR$3)+(AR$4*AG134)+(AL134)+(20%*S134))</f>
        <v>13.358811573578578</v>
      </c>
      <c r="AI134" s="66">
        <f t="shared" si="199"/>
        <v>19.722750000000001</v>
      </c>
      <c r="AJ134" s="66">
        <f t="shared" si="200"/>
        <v>6.8979591836734686</v>
      </c>
      <c r="AK134" s="66">
        <f t="shared" si="201"/>
        <v>13.653510978458701</v>
      </c>
      <c r="AL134" s="24">
        <f t="shared" si="182"/>
        <v>1.60522114921875</v>
      </c>
      <c r="AM134" s="19"/>
      <c r="AN134" s="73">
        <f t="shared" ref="AN134" si="292">AN133+AF134</f>
        <v>171.26171875</v>
      </c>
      <c r="AO134" s="73">
        <f t="shared" ref="AO134" si="293">AO133+AI134</f>
        <v>161.80844999999999</v>
      </c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86">
        <f t="shared" si="183"/>
        <v>3.9825454538572114E-2</v>
      </c>
      <c r="BE134" s="86">
        <f t="shared" si="184"/>
        <v>0</v>
      </c>
      <c r="BF134" s="16"/>
      <c r="BG134" s="16"/>
      <c r="BH134" s="16"/>
      <c r="BI134" s="16"/>
    </row>
    <row r="135" spans="8:61" s="6" customFormat="1" ht="19" hidden="1" customHeight="1">
      <c r="H135" s="16"/>
      <c r="I135" s="16"/>
      <c r="J135" s="16"/>
      <c r="K135" s="16"/>
      <c r="L135" s="16"/>
      <c r="M135" s="16"/>
      <c r="N135" s="17">
        <v>35947</v>
      </c>
      <c r="O135" s="68">
        <v>160</v>
      </c>
      <c r="P135" s="59">
        <f t="shared" si="168"/>
        <v>29.581395348837212</v>
      </c>
      <c r="Q135" s="60">
        <f t="shared" si="169"/>
        <v>0.30025116279069769</v>
      </c>
      <c r="R135" s="18">
        <f t="shared" si="206"/>
        <v>4.0599999999999997E-2</v>
      </c>
      <c r="S135" s="60">
        <f t="shared" si="179"/>
        <v>17.664766883720933</v>
      </c>
      <c r="T135" s="61">
        <f t="shared" si="174"/>
        <v>47.246162232558149</v>
      </c>
      <c r="U135" s="16"/>
      <c r="V135" s="62">
        <v>68</v>
      </c>
      <c r="W135" s="62">
        <f t="shared" si="175"/>
        <v>49.707749999999997</v>
      </c>
      <c r="X135" s="16"/>
      <c r="Y135" s="74">
        <v>198831</v>
      </c>
      <c r="Z135" s="63">
        <f t="shared" si="186"/>
        <v>1386.0390719451302</v>
      </c>
      <c r="AA135" s="82">
        <f t="shared" si="176"/>
        <v>5.7000000000000002E-2</v>
      </c>
      <c r="AB135" s="72">
        <f t="shared" ref="AB135" si="294">AC135</f>
        <v>6.7000000000000004E-2</v>
      </c>
      <c r="AC135" s="64">
        <v>6.7000000000000004E-2</v>
      </c>
      <c r="AD135" s="16"/>
      <c r="AE135" s="17">
        <v>35947</v>
      </c>
      <c r="AF135" s="65">
        <f t="shared" si="197"/>
        <v>12.500000000000002</v>
      </c>
      <c r="AG135" s="66">
        <f t="shared" si="198"/>
        <v>19.758981591448936</v>
      </c>
      <c r="AH135" s="66">
        <f>AG135-((AG$20*AR$3)+(AR$4*AG135)+(AL135)+(20%*S135))</f>
        <v>13.760054520578041</v>
      </c>
      <c r="AI135" s="66">
        <f t="shared" si="199"/>
        <v>19.883099999999999</v>
      </c>
      <c r="AJ135" s="66">
        <f t="shared" si="200"/>
        <v>6.9387755102040813</v>
      </c>
      <c r="AK135" s="66">
        <f t="shared" si="201"/>
        <v>13.860390719451303</v>
      </c>
      <c r="AL135" s="24">
        <f t="shared" si="182"/>
        <v>1.6356144304687501</v>
      </c>
      <c r="AM135" s="19"/>
      <c r="AN135" s="70">
        <f t="shared" ref="AN135:AO135" si="295">AN134</f>
        <v>171.26171875</v>
      </c>
      <c r="AO135" s="70">
        <f t="shared" si="295"/>
        <v>161.80844999999999</v>
      </c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86">
        <f t="shared" si="183"/>
        <v>3.0035826524647868E-2</v>
      </c>
      <c r="BE135" s="86">
        <f t="shared" si="184"/>
        <v>8.1302049663458664E-3</v>
      </c>
      <c r="BF135" s="16"/>
      <c r="BG135" s="16"/>
      <c r="BH135" s="16"/>
      <c r="BI135" s="16"/>
    </row>
    <row r="136" spans="8:61" s="6" customFormat="1" ht="19" hidden="1" customHeight="1">
      <c r="H136" s="16"/>
      <c r="I136" s="16"/>
      <c r="J136" s="16"/>
      <c r="K136" s="16"/>
      <c r="L136" s="16"/>
      <c r="M136" s="16"/>
      <c r="N136" s="17">
        <v>36039</v>
      </c>
      <c r="O136" s="71">
        <f>(O138+O134)/2</f>
        <v>165</v>
      </c>
      <c r="P136" s="59">
        <f t="shared" si="168"/>
        <v>30.505813953488374</v>
      </c>
      <c r="Q136" s="60">
        <f t="shared" si="169"/>
        <v>0.30963401162790699</v>
      </c>
      <c r="R136" s="18">
        <f t="shared" si="206"/>
        <v>4.0599999999999997E-2</v>
      </c>
      <c r="S136" s="60">
        <f t="shared" si="179"/>
        <v>17.97440089534884</v>
      </c>
      <c r="T136" s="61">
        <f t="shared" si="174"/>
        <v>48.480214848837214</v>
      </c>
      <c r="U136" s="16"/>
      <c r="V136" s="62">
        <v>68</v>
      </c>
      <c r="W136" s="62">
        <f t="shared" si="175"/>
        <v>49.707749999999997</v>
      </c>
      <c r="X136" s="16"/>
      <c r="Y136" s="16">
        <f t="shared" ref="Y136" si="296">Y135</f>
        <v>198831</v>
      </c>
      <c r="Z136" s="63">
        <f t="shared" si="186"/>
        <v>1405.3814597384098</v>
      </c>
      <c r="AA136" s="82">
        <f t="shared" si="176"/>
        <v>5.7000000000000002E-2</v>
      </c>
      <c r="AB136" s="72">
        <f t="shared" ref="AB136" si="297">AB135</f>
        <v>6.7000000000000004E-2</v>
      </c>
      <c r="AC136" s="18"/>
      <c r="AD136" s="16"/>
      <c r="AE136" s="17">
        <v>36039</v>
      </c>
      <c r="AF136" s="65">
        <f t="shared" si="197"/>
        <v>12.890625000000002</v>
      </c>
      <c r="AG136" s="66">
        <f t="shared" si="198"/>
        <v>20.275079021922014</v>
      </c>
      <c r="AH136" s="66">
        <f>AG136-((AG$20*AR$3)+(AR$4*AG136)+(AL136)+(20%*S136))</f>
        <v>14.162238180217553</v>
      </c>
      <c r="AI136" s="66">
        <f t="shared" si="199"/>
        <v>19.883099999999999</v>
      </c>
      <c r="AJ136" s="66">
        <f t="shared" si="200"/>
        <v>6.9387755102040813</v>
      </c>
      <c r="AK136" s="66">
        <f t="shared" si="201"/>
        <v>14.053814597384099</v>
      </c>
      <c r="AL136" s="24">
        <f t="shared" si="182"/>
        <v>1.6669575017578127</v>
      </c>
      <c r="AM136" s="19"/>
      <c r="AN136" s="70">
        <f t="shared" si="192"/>
        <v>171.26171875</v>
      </c>
      <c r="AO136" s="70">
        <f t="shared" si="193"/>
        <v>161.80844999999999</v>
      </c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86">
        <f t="shared" si="183"/>
        <v>2.9228347826532941E-2</v>
      </c>
      <c r="BE136" s="86">
        <f t="shared" si="184"/>
        <v>0</v>
      </c>
      <c r="BF136" s="16"/>
      <c r="BG136" s="16"/>
      <c r="BH136" s="16"/>
      <c r="BI136" s="16"/>
    </row>
    <row r="137" spans="8:61" s="6" customFormat="1" ht="19" hidden="1" customHeight="1">
      <c r="H137" s="16"/>
      <c r="I137" s="16"/>
      <c r="J137" s="16"/>
      <c r="K137" s="16"/>
      <c r="L137" s="16"/>
      <c r="M137" s="16"/>
      <c r="N137" s="17">
        <v>36130</v>
      </c>
      <c r="O137" s="68">
        <f t="shared" si="173"/>
        <v>165</v>
      </c>
      <c r="P137" s="59">
        <f t="shared" si="168"/>
        <v>30.505813953488374</v>
      </c>
      <c r="Q137" s="60">
        <f t="shared" si="169"/>
        <v>0.30963401162790699</v>
      </c>
      <c r="R137" s="18">
        <f t="shared" si="206"/>
        <v>4.0599999999999997E-2</v>
      </c>
      <c r="S137" s="60">
        <f t="shared" si="179"/>
        <v>18.284034906976746</v>
      </c>
      <c r="T137" s="61">
        <f t="shared" si="174"/>
        <v>48.789848860465121</v>
      </c>
      <c r="U137" s="16"/>
      <c r="V137" s="62">
        <v>68.3</v>
      </c>
      <c r="W137" s="62">
        <f t="shared" si="175"/>
        <v>53.520375000000001</v>
      </c>
      <c r="X137" s="16"/>
      <c r="Y137" s="16">
        <f t="shared" ref="Y137" si="298">(Y135+Y139)/2</f>
        <v>214081.5</v>
      </c>
      <c r="Z137" s="63">
        <f t="shared" si="186"/>
        <v>1424.9937735194328</v>
      </c>
      <c r="AA137" s="82">
        <f t="shared" si="176"/>
        <v>5.7000000000000002E-2</v>
      </c>
      <c r="AB137" s="72">
        <f t="shared" si="195"/>
        <v>6.7000000000000004E-2</v>
      </c>
      <c r="AC137" s="18"/>
      <c r="AD137" s="16"/>
      <c r="AE137" s="17">
        <v>36130</v>
      </c>
      <c r="AF137" s="65">
        <f t="shared" si="197"/>
        <v>12.890625000000002</v>
      </c>
      <c r="AG137" s="66">
        <f t="shared" si="198"/>
        <v>20.404572137272371</v>
      </c>
      <c r="AH137" s="66">
        <f>AG137-((AG$20*AR$3)+(AR$4*AG137)+(AL137)+(20%*S137))</f>
        <v>14.193281697339252</v>
      </c>
      <c r="AI137" s="66">
        <f t="shared" si="199"/>
        <v>21.408149999999999</v>
      </c>
      <c r="AJ137" s="66">
        <f t="shared" si="200"/>
        <v>6.9693877551020398</v>
      </c>
      <c r="AK137" s="66">
        <f t="shared" si="201"/>
        <v>14.249937735194328</v>
      </c>
      <c r="AL137" s="24">
        <f t="shared" si="182"/>
        <v>1.6983005730468752</v>
      </c>
      <c r="AM137" s="19"/>
      <c r="AN137" s="70">
        <f t="shared" si="192"/>
        <v>171.26171875</v>
      </c>
      <c r="AO137" s="70">
        <f t="shared" si="193"/>
        <v>161.80844999999999</v>
      </c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86">
        <f t="shared" si="183"/>
        <v>2.1919923056414881E-3</v>
      </c>
      <c r="BE137" s="86">
        <f t="shared" si="184"/>
        <v>7.6700816271104699E-2</v>
      </c>
      <c r="BF137" s="16"/>
      <c r="BG137" s="16"/>
      <c r="BH137" s="16"/>
      <c r="BI137" s="16"/>
    </row>
    <row r="138" spans="8:61" s="6" customFormat="1" ht="19" hidden="1" customHeight="1">
      <c r="H138" s="16"/>
      <c r="I138" s="16"/>
      <c r="J138" s="16"/>
      <c r="K138" s="16"/>
      <c r="L138" s="16"/>
      <c r="M138" s="16"/>
      <c r="N138" s="17">
        <v>36220</v>
      </c>
      <c r="O138" s="68">
        <v>175</v>
      </c>
      <c r="P138" s="59">
        <f t="shared" si="168"/>
        <v>32.354651162790702</v>
      </c>
      <c r="Q138" s="60">
        <f t="shared" si="169"/>
        <v>0.32031104651162801</v>
      </c>
      <c r="R138" s="75">
        <v>3.9600000000000003E-2</v>
      </c>
      <c r="S138" s="60">
        <f t="shared" si="179"/>
        <v>18.604345953488373</v>
      </c>
      <c r="T138" s="61">
        <f t="shared" si="174"/>
        <v>50.958997116279079</v>
      </c>
      <c r="U138" s="16"/>
      <c r="V138" s="62">
        <v>68.3</v>
      </c>
      <c r="W138" s="62">
        <f t="shared" si="175"/>
        <v>53.520375000000001</v>
      </c>
      <c r="X138" s="16"/>
      <c r="Y138" s="16">
        <f t="shared" ref="Y138" si="299">Y137</f>
        <v>214081.5</v>
      </c>
      <c r="Z138" s="63">
        <f t="shared" si="186"/>
        <v>1444.8797801467501</v>
      </c>
      <c r="AA138" s="82">
        <f t="shared" si="176"/>
        <v>5.7000000000000002E-2</v>
      </c>
      <c r="AB138" s="72">
        <f t="shared" si="195"/>
        <v>6.7000000000000004E-2</v>
      </c>
      <c r="AC138" s="18"/>
      <c r="AD138" s="16"/>
      <c r="AE138" s="17">
        <v>36220</v>
      </c>
      <c r="AF138" s="65">
        <f t="shared" si="197"/>
        <v>13.671875000000002</v>
      </c>
      <c r="AG138" s="66">
        <f t="shared" si="198"/>
        <v>21.311739162707841</v>
      </c>
      <c r="AH138" s="66">
        <f>AG138-((AG$20*AR$3)+(AR$4*AG138)+(AL138)+(20%*S138))</f>
        <v>14.966857181087789</v>
      </c>
      <c r="AI138" s="66">
        <f t="shared" si="199"/>
        <v>21.408149999999999</v>
      </c>
      <c r="AJ138" s="66">
        <f t="shared" si="200"/>
        <v>6.9693877551020398</v>
      </c>
      <c r="AK138" s="66">
        <f t="shared" si="201"/>
        <v>14.448797801467501</v>
      </c>
      <c r="AL138" s="24">
        <f t="shared" si="182"/>
        <v>1.7315432244140627</v>
      </c>
      <c r="AM138" s="19"/>
      <c r="AN138" s="73">
        <f t="shared" ref="AN138" si="300">AN137+AF138</f>
        <v>184.93359375</v>
      </c>
      <c r="AO138" s="73">
        <f t="shared" ref="AO138" si="301">AO137+AI138</f>
        <v>183.2166</v>
      </c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86">
        <f t="shared" si="183"/>
        <v>5.4502933165453626E-2</v>
      </c>
      <c r="BE138" s="86">
        <f t="shared" si="184"/>
        <v>0</v>
      </c>
      <c r="BF138" s="16"/>
      <c r="BG138" s="16"/>
      <c r="BH138" s="16"/>
      <c r="BI138" s="16"/>
    </row>
    <row r="139" spans="8:61" s="6" customFormat="1" ht="19" hidden="1" customHeight="1">
      <c r="H139" s="16"/>
      <c r="I139" s="16"/>
      <c r="J139" s="16"/>
      <c r="K139" s="16"/>
      <c r="L139" s="16"/>
      <c r="M139" s="16"/>
      <c r="N139" s="17">
        <v>36312</v>
      </c>
      <c r="O139" s="68">
        <v>180</v>
      </c>
      <c r="P139" s="59">
        <f t="shared" si="168"/>
        <v>33.279069767441861</v>
      </c>
      <c r="Q139" s="60">
        <f t="shared" si="169"/>
        <v>0.32946279069767442</v>
      </c>
      <c r="R139" s="18">
        <f t="shared" si="206"/>
        <v>3.9600000000000003E-2</v>
      </c>
      <c r="S139" s="60">
        <f t="shared" si="179"/>
        <v>18.933808744186049</v>
      </c>
      <c r="T139" s="61">
        <f t="shared" si="174"/>
        <v>52.212878511627906</v>
      </c>
      <c r="U139" s="16"/>
      <c r="V139" s="62">
        <v>68.599999999999994</v>
      </c>
      <c r="W139" s="62">
        <f t="shared" si="175"/>
        <v>57.332999999999998</v>
      </c>
      <c r="X139" s="16"/>
      <c r="Y139" s="74">
        <v>229332</v>
      </c>
      <c r="Z139" s="63">
        <f t="shared" si="186"/>
        <v>1465.0432990460019</v>
      </c>
      <c r="AA139" s="82">
        <f t="shared" si="176"/>
        <v>5.5E-2</v>
      </c>
      <c r="AB139" s="72">
        <f t="shared" ref="AB139" si="302">AC139</f>
        <v>6.5000000000000002E-2</v>
      </c>
      <c r="AC139" s="64">
        <v>6.5000000000000002E-2</v>
      </c>
      <c r="AD139" s="16"/>
      <c r="AE139" s="17">
        <v>36312</v>
      </c>
      <c r="AF139" s="65">
        <f t="shared" si="197"/>
        <v>14.0625</v>
      </c>
      <c r="AG139" s="66">
        <f t="shared" si="198"/>
        <v>21.8361292557403</v>
      </c>
      <c r="AH139" s="66">
        <f>AG139-((AG$20*AR$3)+(AR$4*AG139)+(AL139)+(20%*S139))</f>
        <v>15.370186670853165</v>
      </c>
      <c r="AI139" s="66">
        <f t="shared" si="199"/>
        <v>22.933199999999999</v>
      </c>
      <c r="AJ139" s="66">
        <f t="shared" si="200"/>
        <v>6.9999999999999991</v>
      </c>
      <c r="AK139" s="66">
        <f t="shared" si="201"/>
        <v>14.65043299046002</v>
      </c>
      <c r="AL139" s="24">
        <f t="shared" si="182"/>
        <v>1.7657356658203127</v>
      </c>
      <c r="AM139" s="19"/>
      <c r="AN139" s="70">
        <f t="shared" ref="AN139:AO139" si="303">AN138</f>
        <v>184.93359375</v>
      </c>
      <c r="AO139" s="70">
        <f t="shared" si="303"/>
        <v>183.2166</v>
      </c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86">
        <f t="shared" si="183"/>
        <v>2.6948175217107462E-2</v>
      </c>
      <c r="BE139" s="86">
        <f t="shared" si="184"/>
        <v>7.1236888754983463E-2</v>
      </c>
      <c r="BF139" s="16"/>
      <c r="BG139" s="16"/>
      <c r="BH139" s="16"/>
      <c r="BI139" s="16"/>
    </row>
    <row r="140" spans="8:61" s="6" customFormat="1" ht="19" hidden="1" customHeight="1">
      <c r="H140" s="16"/>
      <c r="I140" s="16"/>
      <c r="J140" s="16"/>
      <c r="K140" s="16"/>
      <c r="L140" s="16"/>
      <c r="M140" s="16"/>
      <c r="N140" s="17">
        <v>36404</v>
      </c>
      <c r="O140" s="71">
        <f>(O142+O138)/2</f>
        <v>183</v>
      </c>
      <c r="P140" s="59">
        <f t="shared" si="168"/>
        <v>33.833720930232559</v>
      </c>
      <c r="Q140" s="60">
        <f t="shared" si="169"/>
        <v>0.33495383720930239</v>
      </c>
      <c r="R140" s="18">
        <f t="shared" si="206"/>
        <v>3.9600000000000003E-2</v>
      </c>
      <c r="S140" s="60">
        <f t="shared" si="179"/>
        <v>19.26876258139535</v>
      </c>
      <c r="T140" s="61">
        <f t="shared" si="174"/>
        <v>53.102483511627909</v>
      </c>
      <c r="U140" s="16"/>
      <c r="V140" s="62">
        <v>69.3</v>
      </c>
      <c r="W140" s="62">
        <f t="shared" si="175"/>
        <v>57.332999999999998</v>
      </c>
      <c r="X140" s="16"/>
      <c r="Y140" s="16">
        <f t="shared" ref="Y140" si="304">Y139</f>
        <v>229332</v>
      </c>
      <c r="Z140" s="63">
        <f t="shared" si="186"/>
        <v>1484.7850130646202</v>
      </c>
      <c r="AA140" s="82">
        <f t="shared" si="176"/>
        <v>5.5E-2</v>
      </c>
      <c r="AB140" s="72">
        <f t="shared" ref="AB140" si="305">AB139</f>
        <v>6.5000000000000002E-2</v>
      </c>
      <c r="AC140" s="18"/>
      <c r="AD140" s="16"/>
      <c r="AE140" s="17">
        <v>36404</v>
      </c>
      <c r="AF140" s="65">
        <f t="shared" si="197"/>
        <v>14.296875</v>
      </c>
      <c r="AG140" s="66">
        <f t="shared" si="198"/>
        <v>22.208174052355503</v>
      </c>
      <c r="AH140" s="66">
        <f>AG140-((AG$20*AR$3)+(AR$4*AG140)+(AL140)+(20%*S140))</f>
        <v>15.625596592732212</v>
      </c>
      <c r="AI140" s="66">
        <f t="shared" si="199"/>
        <v>22.933199999999999</v>
      </c>
      <c r="AJ140" s="66">
        <f t="shared" si="200"/>
        <v>7.0714285714285703</v>
      </c>
      <c r="AK140" s="66">
        <f t="shared" si="201"/>
        <v>14.847850130646203</v>
      </c>
      <c r="AL140" s="24">
        <f t="shared" si="182"/>
        <v>1.8004979812500002</v>
      </c>
      <c r="AM140" s="19"/>
      <c r="AN140" s="70">
        <f t="shared" si="192"/>
        <v>184.93359375</v>
      </c>
      <c r="AO140" s="70">
        <f t="shared" si="193"/>
        <v>183.2166</v>
      </c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86">
        <f t="shared" si="183"/>
        <v>1.6617229663409727E-2</v>
      </c>
      <c r="BE140" s="86">
        <f t="shared" si="184"/>
        <v>0</v>
      </c>
      <c r="BF140" s="16"/>
      <c r="BG140" s="16"/>
      <c r="BH140" s="16"/>
      <c r="BI140" s="16"/>
    </row>
    <row r="141" spans="8:61" s="6" customFormat="1" ht="19" hidden="1" customHeight="1">
      <c r="H141" s="16"/>
      <c r="I141" s="16"/>
      <c r="J141" s="16"/>
      <c r="K141" s="16"/>
      <c r="L141" s="16"/>
      <c r="M141" s="16"/>
      <c r="N141" s="17">
        <v>36495</v>
      </c>
      <c r="O141" s="68">
        <f t="shared" si="173"/>
        <v>183</v>
      </c>
      <c r="P141" s="59">
        <f t="shared" si="168"/>
        <v>33.833720930232559</v>
      </c>
      <c r="Q141" s="60">
        <f t="shared" si="169"/>
        <v>0.33495383720930239</v>
      </c>
      <c r="R141" s="18">
        <f t="shared" si="206"/>
        <v>3.9600000000000003E-2</v>
      </c>
      <c r="S141" s="60">
        <f t="shared" si="179"/>
        <v>19.603716418604652</v>
      </c>
      <c r="T141" s="61">
        <f t="shared" si="174"/>
        <v>53.437437348837207</v>
      </c>
      <c r="U141" s="16"/>
      <c r="V141" s="62">
        <v>69.7</v>
      </c>
      <c r="W141" s="62">
        <f t="shared" si="175"/>
        <v>61.261125</v>
      </c>
      <c r="X141" s="16"/>
      <c r="Y141" s="16">
        <f t="shared" ref="Y141" si="306">(Y139+Y143)/2</f>
        <v>245044.5</v>
      </c>
      <c r="Z141" s="63">
        <f t="shared" si="186"/>
        <v>1504.7927501234085</v>
      </c>
      <c r="AA141" s="82">
        <f t="shared" si="176"/>
        <v>5.5E-2</v>
      </c>
      <c r="AB141" s="72">
        <f t="shared" si="195"/>
        <v>6.5000000000000002E-2</v>
      </c>
      <c r="AC141" s="18"/>
      <c r="AD141" s="16"/>
      <c r="AE141" s="17">
        <v>36495</v>
      </c>
      <c r="AF141" s="65">
        <f t="shared" si="197"/>
        <v>14.296875</v>
      </c>
      <c r="AG141" s="66">
        <f t="shared" si="198"/>
        <v>22.34825625989707</v>
      </c>
      <c r="AH141" s="66">
        <f>AG141-((AG$20*AR$3)+(AR$4*AG141)+(AL141)+(20%*S141))</f>
        <v>15.658322429100568</v>
      </c>
      <c r="AI141" s="66">
        <f t="shared" si="199"/>
        <v>24.504449999999999</v>
      </c>
      <c r="AJ141" s="66">
        <f t="shared" si="200"/>
        <v>7.112244897959183</v>
      </c>
      <c r="AK141" s="66">
        <f t="shared" si="201"/>
        <v>15.047927501234085</v>
      </c>
      <c r="AL141" s="24">
        <f t="shared" si="182"/>
        <v>1.8352602966796876</v>
      </c>
      <c r="AM141" s="19"/>
      <c r="AN141" s="70">
        <f t="shared" si="192"/>
        <v>184.93359375</v>
      </c>
      <c r="AO141" s="70">
        <f t="shared" si="193"/>
        <v>183.2166</v>
      </c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86">
        <f t="shared" si="183"/>
        <v>2.0943735603400349E-3</v>
      </c>
      <c r="BE141" s="86">
        <f t="shared" si="184"/>
        <v>6.8514206477944706E-2</v>
      </c>
      <c r="BF141" s="16"/>
      <c r="BG141" s="16"/>
      <c r="BH141" s="16"/>
      <c r="BI141" s="16"/>
    </row>
    <row r="142" spans="8:61" s="6" customFormat="1" ht="19" hidden="1" customHeight="1">
      <c r="H142" s="16"/>
      <c r="I142" s="16"/>
      <c r="J142" s="16"/>
      <c r="K142" s="16"/>
      <c r="L142" s="16"/>
      <c r="M142" s="16"/>
      <c r="N142" s="17">
        <v>36586</v>
      </c>
      <c r="O142" s="68">
        <v>191</v>
      </c>
      <c r="P142" s="59">
        <f t="shared" si="168"/>
        <v>35.312790697674423</v>
      </c>
      <c r="Q142" s="60">
        <f t="shared" si="169"/>
        <v>0.32752613372093026</v>
      </c>
      <c r="R142" s="75">
        <v>3.7100000000000001E-2</v>
      </c>
      <c r="S142" s="60">
        <f t="shared" si="179"/>
        <v>19.931242552325582</v>
      </c>
      <c r="T142" s="61">
        <f t="shared" si="174"/>
        <v>55.244033250000001</v>
      </c>
      <c r="U142" s="16"/>
      <c r="V142" s="62">
        <v>70.5</v>
      </c>
      <c r="W142" s="62">
        <f t="shared" si="175"/>
        <v>61.261125</v>
      </c>
      <c r="X142" s="16"/>
      <c r="Y142" s="16">
        <f t="shared" ref="Y142" si="307">Y141</f>
        <v>245044.5</v>
      </c>
      <c r="Z142" s="63">
        <f t="shared" si="186"/>
        <v>1525.0700949292384</v>
      </c>
      <c r="AA142" s="82">
        <f t="shared" si="176"/>
        <v>5.5E-2</v>
      </c>
      <c r="AB142" s="72">
        <f t="shared" si="195"/>
        <v>6.5000000000000002E-2</v>
      </c>
      <c r="AC142" s="18"/>
      <c r="AD142" s="16"/>
      <c r="AE142" s="17">
        <v>36586</v>
      </c>
      <c r="AF142" s="65">
        <f t="shared" si="197"/>
        <v>14.921875000000002</v>
      </c>
      <c r="AG142" s="66">
        <f t="shared" si="198"/>
        <v>23.103799005962987</v>
      </c>
      <c r="AH142" s="66">
        <f>AG142-((AG$20*AR$3)+(AR$4*AG142)+(AL142)+(20%*S142))</f>
        <v>16.281856259087476</v>
      </c>
      <c r="AI142" s="66">
        <f t="shared" si="199"/>
        <v>24.504449999999999</v>
      </c>
      <c r="AJ142" s="66">
        <f t="shared" si="200"/>
        <v>7.1938775510204076</v>
      </c>
      <c r="AK142" s="66">
        <f t="shared" si="201"/>
        <v>15.250700949292384</v>
      </c>
      <c r="AL142" s="24">
        <f t="shared" si="182"/>
        <v>1.8715422761718752</v>
      </c>
      <c r="AM142" s="19"/>
      <c r="AN142" s="73">
        <f t="shared" ref="AN142" si="308">AN141+AF142</f>
        <v>199.85546875</v>
      </c>
      <c r="AO142" s="73">
        <f t="shared" ref="AO142" si="309">AO141+AI142</f>
        <v>207.72104999999999</v>
      </c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86">
        <f t="shared" si="183"/>
        <v>3.9821240928599622E-2</v>
      </c>
      <c r="BE142" s="86">
        <f t="shared" si="184"/>
        <v>0</v>
      </c>
      <c r="BF142" s="16"/>
      <c r="BG142" s="16"/>
      <c r="BH142" s="16"/>
      <c r="BI142" s="16"/>
    </row>
    <row r="143" spans="8:61" s="6" customFormat="1" ht="19" hidden="1" customHeight="1">
      <c r="H143" s="16"/>
      <c r="I143" s="16"/>
      <c r="J143" s="16"/>
      <c r="K143" s="16"/>
      <c r="L143" s="16"/>
      <c r="M143" s="16"/>
      <c r="N143" s="17">
        <v>36678</v>
      </c>
      <c r="O143" s="68">
        <v>200</v>
      </c>
      <c r="P143" s="59">
        <f t="shared" si="168"/>
        <v>36.976744186046517</v>
      </c>
      <c r="Q143" s="60">
        <f t="shared" si="169"/>
        <v>0.34295930232558147</v>
      </c>
      <c r="R143" s="18">
        <f t="shared" si="206"/>
        <v>3.7100000000000001E-2</v>
      </c>
      <c r="S143" s="60">
        <f t="shared" si="179"/>
        <v>20.274201854651164</v>
      </c>
      <c r="T143" s="61">
        <f t="shared" si="174"/>
        <v>57.250946040697684</v>
      </c>
      <c r="U143" s="16"/>
      <c r="V143" s="62">
        <v>70.900000000000006</v>
      </c>
      <c r="W143" s="62">
        <f t="shared" si="175"/>
        <v>65.189250000000001</v>
      </c>
      <c r="X143" s="16"/>
      <c r="Y143" s="74">
        <v>260757</v>
      </c>
      <c r="Z143" s="63">
        <f t="shared" si="186"/>
        <v>1545.6206804935321</v>
      </c>
      <c r="AA143" s="82">
        <f t="shared" si="176"/>
        <v>6.8000000000000005E-2</v>
      </c>
      <c r="AB143" s="72">
        <f t="shared" ref="AB143" si="310">AC143</f>
        <v>7.8E-2</v>
      </c>
      <c r="AC143" s="64">
        <v>7.8E-2</v>
      </c>
      <c r="AD143" s="16"/>
      <c r="AE143" s="17">
        <v>36678</v>
      </c>
      <c r="AF143" s="65">
        <f t="shared" si="197"/>
        <v>15.625000000000004</v>
      </c>
      <c r="AG143" s="66">
        <f t="shared" si="198"/>
        <v>23.943116974094423</v>
      </c>
      <c r="AH143" s="66">
        <f>AG143-((AG$20*AR$3)+(AR$4*AG143)+(AL143)+(20%*S143))</f>
        <v>16.981018046466037</v>
      </c>
      <c r="AI143" s="66">
        <f t="shared" si="199"/>
        <v>26.075700000000001</v>
      </c>
      <c r="AJ143" s="66">
        <f t="shared" si="200"/>
        <v>7.2346938775510203</v>
      </c>
      <c r="AK143" s="66">
        <f t="shared" si="201"/>
        <v>15.45620680493532</v>
      </c>
      <c r="AL143" s="24">
        <f t="shared" si="182"/>
        <v>1.9095338777343751</v>
      </c>
      <c r="AM143" s="19"/>
      <c r="AN143" s="70">
        <f t="shared" ref="AN143:AO143" si="311">AN142</f>
        <v>199.85546875</v>
      </c>
      <c r="AO143" s="70">
        <f t="shared" si="311"/>
        <v>207.72104999999999</v>
      </c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86">
        <f t="shared" si="183"/>
        <v>4.2941159549196639E-2</v>
      </c>
      <c r="BE143" s="86">
        <f t="shared" si="184"/>
        <v>6.4121006592680274E-2</v>
      </c>
      <c r="BF143" s="16"/>
      <c r="BG143" s="16"/>
      <c r="BH143" s="16"/>
      <c r="BI143" s="16"/>
    </row>
    <row r="144" spans="8:61" s="6" customFormat="1" ht="19" hidden="1" customHeight="1">
      <c r="H144" s="16"/>
      <c r="I144" s="16"/>
      <c r="J144" s="16"/>
      <c r="K144" s="16"/>
      <c r="L144" s="16"/>
      <c r="M144" s="16"/>
      <c r="N144" s="17">
        <v>36770</v>
      </c>
      <c r="O144" s="71">
        <f>(O146+O142)/2</f>
        <v>208</v>
      </c>
      <c r="P144" s="59">
        <f t="shared" si="168"/>
        <v>38.455813953488374</v>
      </c>
      <c r="Q144" s="60">
        <f t="shared" si="169"/>
        <v>0.35667767441860465</v>
      </c>
      <c r="R144" s="18">
        <f t="shared" si="206"/>
        <v>3.7100000000000001E-2</v>
      </c>
      <c r="S144" s="60">
        <f t="shared" si="179"/>
        <v>20.63087952906977</v>
      </c>
      <c r="T144" s="61">
        <f t="shared" si="174"/>
        <v>59.086693482558147</v>
      </c>
      <c r="U144" s="16"/>
      <c r="V144" s="62">
        <v>73.599999999999994</v>
      </c>
      <c r="W144" s="62">
        <f t="shared" si="175"/>
        <v>65.189250000000001</v>
      </c>
      <c r="X144" s="16"/>
      <c r="Y144" s="16">
        <f t="shared" ref="Y144" si="312">Y143</f>
        <v>260757</v>
      </c>
      <c r="Z144" s="63">
        <f t="shared" si="186"/>
        <v>1571.2516008457508</v>
      </c>
      <c r="AA144" s="82">
        <f t="shared" si="176"/>
        <v>6.8000000000000005E-2</v>
      </c>
      <c r="AB144" s="72">
        <f t="shared" ref="AB144" si="313">AB143</f>
        <v>7.8E-2</v>
      </c>
      <c r="AC144" s="18"/>
      <c r="AD144" s="16"/>
      <c r="AE144" s="17">
        <v>36770</v>
      </c>
      <c r="AF144" s="65">
        <f t="shared" si="197"/>
        <v>16.25</v>
      </c>
      <c r="AG144" s="66">
        <f t="shared" si="198"/>
        <v>24.71085128723773</v>
      </c>
      <c r="AH144" s="66">
        <f>AG144-((AG$20*AR$3)+(AR$4*AG144)+(AL144)+(20%*S144))</f>
        <v>17.607196186574892</v>
      </c>
      <c r="AI144" s="66">
        <f t="shared" si="199"/>
        <v>26.075700000000001</v>
      </c>
      <c r="AJ144" s="66">
        <f t="shared" si="200"/>
        <v>7.5102040816326516</v>
      </c>
      <c r="AK144" s="66">
        <f t="shared" si="201"/>
        <v>15.712516008457508</v>
      </c>
      <c r="AL144" s="24">
        <f t="shared" si="182"/>
        <v>1.9490451433593752</v>
      </c>
      <c r="AM144" s="19"/>
      <c r="AN144" s="70">
        <f t="shared" si="192"/>
        <v>199.85546875</v>
      </c>
      <c r="AO144" s="70">
        <f t="shared" si="193"/>
        <v>207.72104999999999</v>
      </c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86">
        <f t="shared" si="183"/>
        <v>3.6875182535900386E-2</v>
      </c>
      <c r="BE144" s="86">
        <f t="shared" si="184"/>
        <v>0</v>
      </c>
      <c r="BF144" s="16"/>
      <c r="BG144" s="16"/>
      <c r="BH144" s="16"/>
      <c r="BI144" s="16"/>
    </row>
    <row r="145" spans="8:61" s="6" customFormat="1" ht="19" hidden="1" customHeight="1">
      <c r="H145" s="16"/>
      <c r="I145" s="16"/>
      <c r="J145" s="16"/>
      <c r="K145" s="16"/>
      <c r="L145" s="16"/>
      <c r="M145" s="16"/>
      <c r="N145" s="17">
        <v>36861</v>
      </c>
      <c r="O145" s="68">
        <f t="shared" si="173"/>
        <v>208</v>
      </c>
      <c r="P145" s="59">
        <f t="shared" si="168"/>
        <v>38.455813953488374</v>
      </c>
      <c r="Q145" s="60">
        <f t="shared" si="169"/>
        <v>0.35667767441860465</v>
      </c>
      <c r="R145" s="18">
        <f t="shared" si="206"/>
        <v>3.7100000000000001E-2</v>
      </c>
      <c r="S145" s="60">
        <f t="shared" si="179"/>
        <v>20.987557203488375</v>
      </c>
      <c r="T145" s="61">
        <f t="shared" si="174"/>
        <v>59.443371156976752</v>
      </c>
      <c r="U145" s="16"/>
      <c r="V145" s="62">
        <v>73.900000000000006</v>
      </c>
      <c r="W145" s="62">
        <f t="shared" si="175"/>
        <v>68.073499999999996</v>
      </c>
      <c r="X145" s="16"/>
      <c r="Y145" s="16">
        <f t="shared" ref="Y145" si="314">(Y143+Y147)/2</f>
        <v>272294</v>
      </c>
      <c r="Z145" s="63">
        <f t="shared" si="186"/>
        <v>1597.3075569692896</v>
      </c>
      <c r="AA145" s="82">
        <f t="shared" si="176"/>
        <v>6.8000000000000005E-2</v>
      </c>
      <c r="AB145" s="72">
        <f t="shared" si="195"/>
        <v>7.8E-2</v>
      </c>
      <c r="AC145" s="18"/>
      <c r="AD145" s="16"/>
      <c r="AE145" s="17">
        <v>36861</v>
      </c>
      <c r="AF145" s="65">
        <f t="shared" si="197"/>
        <v>16.25</v>
      </c>
      <c r="AG145" s="66">
        <f t="shared" si="198"/>
        <v>24.860018696184685</v>
      </c>
      <c r="AH145" s="66">
        <f>AG145-((AG$20*AR$3)+(AR$4*AG145)+(AL145)+(20%*S145))</f>
        <v>17.639550098655249</v>
      </c>
      <c r="AI145" s="66">
        <f t="shared" si="199"/>
        <v>27.229399999999998</v>
      </c>
      <c r="AJ145" s="66">
        <f t="shared" si="200"/>
        <v>7.5408163265306118</v>
      </c>
      <c r="AK145" s="66">
        <f t="shared" si="201"/>
        <v>15.973075569692897</v>
      </c>
      <c r="AL145" s="24">
        <f t="shared" si="182"/>
        <v>1.9885564089843752</v>
      </c>
      <c r="AM145" s="19"/>
      <c r="AN145" s="70">
        <f t="shared" si="192"/>
        <v>199.85546875</v>
      </c>
      <c r="AO145" s="70">
        <f t="shared" si="193"/>
        <v>207.72104999999999</v>
      </c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86">
        <f t="shared" si="183"/>
        <v>1.837539136698263E-3</v>
      </c>
      <c r="BE145" s="86">
        <f t="shared" si="184"/>
        <v>4.4244258064021214E-2</v>
      </c>
      <c r="BF145" s="16"/>
      <c r="BG145" s="16"/>
      <c r="BH145" s="16"/>
      <c r="BI145" s="16"/>
    </row>
    <row r="146" spans="8:61" s="6" customFormat="1" ht="19" hidden="1" customHeight="1">
      <c r="H146" s="16"/>
      <c r="I146" s="16"/>
      <c r="J146" s="16"/>
      <c r="K146" s="16"/>
      <c r="L146" s="16"/>
      <c r="M146" s="16"/>
      <c r="N146" s="17">
        <v>36951</v>
      </c>
      <c r="O146" s="68">
        <v>225</v>
      </c>
      <c r="P146" s="59">
        <f t="shared" si="168"/>
        <v>41.598837209302324</v>
      </c>
      <c r="Q146" s="60">
        <f t="shared" si="169"/>
        <v>0.37230959302325578</v>
      </c>
      <c r="R146" s="75">
        <v>3.5799999999999998E-2</v>
      </c>
      <c r="S146" s="60">
        <f t="shared" si="179"/>
        <v>21.359866796511632</v>
      </c>
      <c r="T146" s="61">
        <f t="shared" si="174"/>
        <v>62.958704005813956</v>
      </c>
      <c r="U146" s="16"/>
      <c r="V146" s="62">
        <v>74.7</v>
      </c>
      <c r="W146" s="62">
        <f t="shared" si="175"/>
        <v>68.073499999999996</v>
      </c>
      <c r="X146" s="16"/>
      <c r="Y146" s="16">
        <f t="shared" ref="Y146" si="315">Y145</f>
        <v>272294</v>
      </c>
      <c r="Z146" s="63">
        <f t="shared" si="186"/>
        <v>1623.7955972028119</v>
      </c>
      <c r="AA146" s="82">
        <f t="shared" si="176"/>
        <v>6.8000000000000005E-2</v>
      </c>
      <c r="AB146" s="72">
        <f t="shared" si="195"/>
        <v>7.8E-2</v>
      </c>
      <c r="AC146" s="18"/>
      <c r="AD146" s="16"/>
      <c r="AE146" s="17">
        <v>36951</v>
      </c>
      <c r="AF146" s="65">
        <f t="shared" si="197"/>
        <v>17.578125</v>
      </c>
      <c r="AG146" s="66">
        <f t="shared" si="198"/>
        <v>26.33017825551762</v>
      </c>
      <c r="AH146" s="66">
        <f>AG146-((AG$20*AR$3)+(AR$4*AG146)+(AL146)+(20%*S146))</f>
        <v>18.9337008052524</v>
      </c>
      <c r="AI146" s="66">
        <f t="shared" si="199"/>
        <v>27.229399999999998</v>
      </c>
      <c r="AJ146" s="66">
        <f t="shared" si="200"/>
        <v>7.6224489795918364</v>
      </c>
      <c r="AK146" s="66">
        <f t="shared" si="201"/>
        <v>16.237955972028118</v>
      </c>
      <c r="AL146" s="24">
        <f t="shared" si="182"/>
        <v>2.0312969607421878</v>
      </c>
      <c r="AM146" s="19"/>
      <c r="AN146" s="73">
        <f t="shared" ref="AN146:AN202" si="316">AN145+AF146</f>
        <v>217.43359375</v>
      </c>
      <c r="AO146" s="73">
        <f t="shared" ref="AO146" si="317">AO145+AI146</f>
        <v>234.95044999999999</v>
      </c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86">
        <f t="shared" si="183"/>
        <v>7.3366423710308215E-2</v>
      </c>
      <c r="BE146" s="86">
        <f t="shared" si="184"/>
        <v>0</v>
      </c>
      <c r="BF146" s="16"/>
      <c r="BG146" s="16"/>
      <c r="BH146" s="16"/>
      <c r="BI146" s="16"/>
    </row>
    <row r="147" spans="8:61" s="6" customFormat="1" ht="19" hidden="1" customHeight="1">
      <c r="H147" s="16"/>
      <c r="I147" s="16"/>
      <c r="J147" s="16"/>
      <c r="K147" s="16"/>
      <c r="L147" s="16"/>
      <c r="M147" s="16"/>
      <c r="N147" s="17">
        <v>37043</v>
      </c>
      <c r="O147" s="68">
        <v>230</v>
      </c>
      <c r="P147" s="59">
        <f t="shared" si="168"/>
        <v>42.52325581395349</v>
      </c>
      <c r="Q147" s="60">
        <f t="shared" si="169"/>
        <v>0.38058313953488371</v>
      </c>
      <c r="R147" s="18">
        <f t="shared" si="206"/>
        <v>3.5799999999999998E-2</v>
      </c>
      <c r="S147" s="60">
        <f t="shared" si="179"/>
        <v>21.740449936046517</v>
      </c>
      <c r="T147" s="61">
        <f t="shared" si="174"/>
        <v>64.263705750000014</v>
      </c>
      <c r="U147" s="16"/>
      <c r="V147" s="62">
        <v>75.099999999999994</v>
      </c>
      <c r="W147" s="62">
        <f t="shared" si="175"/>
        <v>70.957750000000004</v>
      </c>
      <c r="X147" s="16"/>
      <c r="Y147" s="74">
        <v>283831</v>
      </c>
      <c r="Z147" s="63">
        <f t="shared" si="186"/>
        <v>1650.7228867670917</v>
      </c>
      <c r="AA147" s="82">
        <f t="shared" si="176"/>
        <v>5.8000000000000003E-2</v>
      </c>
      <c r="AB147" s="72">
        <f t="shared" ref="AB147" si="318">AC147</f>
        <v>6.8000000000000005E-2</v>
      </c>
      <c r="AC147" s="64">
        <v>6.8000000000000005E-2</v>
      </c>
      <c r="AD147" s="16"/>
      <c r="AE147" s="17">
        <v>37043</v>
      </c>
      <c r="AF147" s="65">
        <f t="shared" si="197"/>
        <v>17.96875</v>
      </c>
      <c r="AG147" s="66">
        <f t="shared" si="198"/>
        <v>26.875947567176372</v>
      </c>
      <c r="AH147" s="66">
        <f>AG147-((AG$20*AR$3)+(AR$4*AG147)+(AL147)+(20%*S147))</f>
        <v>19.337832374740948</v>
      </c>
      <c r="AI147" s="66">
        <f t="shared" si="199"/>
        <v>28.383099999999999</v>
      </c>
      <c r="AJ147" s="66">
        <f t="shared" si="200"/>
        <v>7.6632653061224483</v>
      </c>
      <c r="AK147" s="66">
        <f t="shared" si="201"/>
        <v>16.507228867670918</v>
      </c>
      <c r="AL147" s="24">
        <f t="shared" si="182"/>
        <v>2.0749873025390628</v>
      </c>
      <c r="AM147" s="19"/>
      <c r="AN147" s="70">
        <f t="shared" ref="AN147:AO201" si="319">AN146</f>
        <v>217.43359375</v>
      </c>
      <c r="AO147" s="70">
        <f t="shared" ref="AO147" si="320">AO146</f>
        <v>234.95044999999999</v>
      </c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86">
        <f t="shared" si="183"/>
        <v>2.1344562990899263E-2</v>
      </c>
      <c r="BE147" s="86">
        <f t="shared" si="184"/>
        <v>4.2369644575348753E-2</v>
      </c>
      <c r="BF147" s="16"/>
      <c r="BG147" s="16"/>
      <c r="BH147" s="16"/>
      <c r="BI147" s="16"/>
    </row>
    <row r="148" spans="8:61" s="6" customFormat="1" ht="19" hidden="1" customHeight="1">
      <c r="H148" s="16"/>
      <c r="I148" s="16"/>
      <c r="J148" s="16"/>
      <c r="K148" s="16"/>
      <c r="L148" s="16"/>
      <c r="M148" s="16"/>
      <c r="N148" s="17">
        <v>37135</v>
      </c>
      <c r="O148" s="71">
        <f>(O150+O146)/2</f>
        <v>241.5</v>
      </c>
      <c r="P148" s="59">
        <f t="shared" si="168"/>
        <v>44.649418604651167</v>
      </c>
      <c r="Q148" s="60">
        <f t="shared" si="169"/>
        <v>0.39961229651162794</v>
      </c>
      <c r="R148" s="18">
        <f t="shared" si="206"/>
        <v>3.5799999999999998E-2</v>
      </c>
      <c r="S148" s="60">
        <f t="shared" si="179"/>
        <v>22.140062232558144</v>
      </c>
      <c r="T148" s="61">
        <f t="shared" si="174"/>
        <v>66.789480837209311</v>
      </c>
      <c r="U148" s="16"/>
      <c r="V148" s="62">
        <v>75.5</v>
      </c>
      <c r="W148" s="62">
        <f t="shared" si="175"/>
        <v>70.957750000000004</v>
      </c>
      <c r="X148" s="16"/>
      <c r="Y148" s="16">
        <f t="shared" ref="Y148" si="321">Y147</f>
        <v>283831</v>
      </c>
      <c r="Z148" s="63">
        <f t="shared" si="186"/>
        <v>1674.1547122909353</v>
      </c>
      <c r="AA148" s="82">
        <f t="shared" si="176"/>
        <v>5.8000000000000003E-2</v>
      </c>
      <c r="AB148" s="72">
        <f t="shared" ref="AB148" si="322">AB147</f>
        <v>6.8000000000000005E-2</v>
      </c>
      <c r="AC148" s="18"/>
      <c r="AD148" s="16"/>
      <c r="AE148" s="17">
        <v>37135</v>
      </c>
      <c r="AF148" s="65">
        <f t="shared" si="197"/>
        <v>18.867187500000004</v>
      </c>
      <c r="AG148" s="66">
        <f t="shared" si="198"/>
        <v>27.93226073832146</v>
      </c>
      <c r="AH148" s="66">
        <f>AG148-((AG$20*AR$3)+(AR$4*AG148)+(AL148)+(20%*S148))</f>
        <v>20.226095700851189</v>
      </c>
      <c r="AI148" s="66">
        <f t="shared" si="199"/>
        <v>28.383099999999999</v>
      </c>
      <c r="AJ148" s="66">
        <f t="shared" si="200"/>
        <v>7.704081632653061</v>
      </c>
      <c r="AK148" s="66">
        <f t="shared" si="201"/>
        <v>16.741547122909353</v>
      </c>
      <c r="AL148" s="24">
        <f t="shared" si="182"/>
        <v>2.1208621614257814</v>
      </c>
      <c r="AM148" s="19"/>
      <c r="AN148" s="70">
        <f t="shared" si="192"/>
        <v>217.43359375</v>
      </c>
      <c r="AO148" s="70">
        <f t="shared" si="193"/>
        <v>234.95044999999999</v>
      </c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86">
        <f t="shared" si="183"/>
        <v>4.5933965549856071E-2</v>
      </c>
      <c r="BE148" s="86">
        <f t="shared" si="184"/>
        <v>0</v>
      </c>
      <c r="BF148" s="16"/>
      <c r="BG148" s="16"/>
      <c r="BH148" s="16"/>
      <c r="BI148" s="81"/>
    </row>
    <row r="149" spans="8:61" s="6" customFormat="1" ht="19" hidden="1" customHeight="1">
      <c r="H149" s="16"/>
      <c r="I149" s="16"/>
      <c r="J149" s="16"/>
      <c r="K149" s="16"/>
      <c r="L149" s="16"/>
      <c r="M149" s="16"/>
      <c r="N149" s="17">
        <v>37226</v>
      </c>
      <c r="O149" s="68">
        <f t="shared" si="173"/>
        <v>241.5</v>
      </c>
      <c r="P149" s="59">
        <f>(O149/O$150)*P$150</f>
        <v>44.649418604651167</v>
      </c>
      <c r="Q149" s="60">
        <f t="shared" si="169"/>
        <v>0.39961229651162794</v>
      </c>
      <c r="R149" s="18">
        <f t="shared" si="206"/>
        <v>3.5799999999999998E-2</v>
      </c>
      <c r="S149" s="60">
        <f t="shared" si="179"/>
        <v>22.539674529069771</v>
      </c>
      <c r="T149" s="61">
        <f t="shared" si="174"/>
        <v>67.189093133720945</v>
      </c>
      <c r="U149" s="16"/>
      <c r="V149" s="62">
        <v>76.099999999999994</v>
      </c>
      <c r="W149" s="62">
        <f t="shared" si="175"/>
        <v>70.775000000000006</v>
      </c>
      <c r="X149" s="16"/>
      <c r="Y149" s="16">
        <v>283100</v>
      </c>
      <c r="Z149" s="63">
        <f t="shared" si="186"/>
        <v>1697.919149939916</v>
      </c>
      <c r="AA149" s="82">
        <f t="shared" si="176"/>
        <v>5.8000000000000003E-2</v>
      </c>
      <c r="AB149" s="72">
        <f t="shared" si="195"/>
        <v>6.8000000000000005E-2</v>
      </c>
      <c r="AC149" s="18"/>
      <c r="AD149" s="16"/>
      <c r="AE149" s="17">
        <v>37226</v>
      </c>
      <c r="AF149" s="65">
        <f t="shared" si="197"/>
        <v>18.867187500000004</v>
      </c>
      <c r="AG149" s="66">
        <f t="shared" si="198"/>
        <v>28.099383984684291</v>
      </c>
      <c r="AH149" s="66">
        <f>AG149-((AG$20*AR$3)+(AR$4*AG149)+(AL149)+(20%*S149))</f>
        <v>20.260736699170465</v>
      </c>
      <c r="AI149" s="66">
        <f t="shared" si="199"/>
        <v>28.31</v>
      </c>
      <c r="AJ149" s="66">
        <f t="shared" si="200"/>
        <v>7.7653061224489788</v>
      </c>
      <c r="AK149" s="66">
        <f t="shared" si="201"/>
        <v>16.97919149939916</v>
      </c>
      <c r="AL149" s="24">
        <f t="shared" si="182"/>
        <v>2.1667370203125</v>
      </c>
      <c r="AM149" s="19"/>
      <c r="AN149" s="70">
        <f t="shared" si="192"/>
        <v>217.43359375</v>
      </c>
      <c r="AO149" s="70">
        <f t="shared" si="193"/>
        <v>234.95044999999999</v>
      </c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86">
        <f t="shared" si="183"/>
        <v>1.7126883424078976E-3</v>
      </c>
      <c r="BE149" s="86">
        <f t="shared" si="184"/>
        <v>-2.5754762517131713E-3</v>
      </c>
      <c r="BF149" s="16"/>
      <c r="BG149" s="16"/>
      <c r="BH149" s="16"/>
      <c r="BI149" s="16"/>
    </row>
    <row r="150" spans="8:61" s="6" customFormat="1" ht="19" hidden="1" customHeight="1">
      <c r="H150" s="16"/>
      <c r="I150" s="16"/>
      <c r="J150" s="16"/>
      <c r="K150" s="16"/>
      <c r="L150" s="16"/>
      <c r="M150" s="16"/>
      <c r="N150" s="17">
        <v>37316</v>
      </c>
      <c r="O150" s="68">
        <v>258</v>
      </c>
      <c r="P150" s="16">
        <v>47.7</v>
      </c>
      <c r="Q150" s="60">
        <f t="shared" ref="Q150:Q201" si="323">(P150*R150)/4</f>
        <v>0.37206</v>
      </c>
      <c r="R150" s="75">
        <v>3.1199999999999999E-2</v>
      </c>
      <c r="S150" s="60">
        <f t="shared" si="179"/>
        <v>22.911734529069772</v>
      </c>
      <c r="T150" s="61">
        <f t="shared" si="174"/>
        <v>70.611734529069778</v>
      </c>
      <c r="U150" s="16">
        <v>1.0103915296785164</v>
      </c>
      <c r="V150" s="16">
        <v>76.900000000000006</v>
      </c>
      <c r="W150" s="62">
        <f t="shared" si="175"/>
        <v>71.5</v>
      </c>
      <c r="X150" s="16">
        <v>10000</v>
      </c>
      <c r="Y150" s="16">
        <v>286000</v>
      </c>
      <c r="Z150" s="63">
        <f t="shared" si="186"/>
        <v>1722.0209211057013</v>
      </c>
      <c r="AA150" s="82">
        <f t="shared" si="176"/>
        <v>5.8000000000000003E-2</v>
      </c>
      <c r="AB150" s="72">
        <f t="shared" si="195"/>
        <v>6.8000000000000005E-2</v>
      </c>
      <c r="AC150" s="18"/>
      <c r="AD150" s="16"/>
      <c r="AE150" s="17">
        <v>37316</v>
      </c>
      <c r="AF150" s="65">
        <f t="shared" si="197"/>
        <v>20.156250000000004</v>
      </c>
      <c r="AG150" s="66">
        <f t="shared" si="198"/>
        <v>29.530778729339872</v>
      </c>
      <c r="AH150" s="66">
        <f>AG150-((AG$20*AR$3)+(AR$4*AG150)+(AL150)+(20%*S150))</f>
        <v>21.511454488024196</v>
      </c>
      <c r="AI150" s="66">
        <f t="shared" si="199"/>
        <v>28.6</v>
      </c>
      <c r="AJ150" s="66">
        <f t="shared" si="200"/>
        <v>7.8469387755102042</v>
      </c>
      <c r="AK150" s="66">
        <f t="shared" si="201"/>
        <v>17.220209211057014</v>
      </c>
      <c r="AL150" s="24">
        <f t="shared" si="182"/>
        <v>2.2157461863281251</v>
      </c>
      <c r="AM150" s="16"/>
      <c r="AN150" s="73">
        <f t="shared" si="316"/>
        <v>237.58984375</v>
      </c>
      <c r="AO150" s="73">
        <f t="shared" ref="AO150" si="324">AO149+AI150</f>
        <v>263.55045000000001</v>
      </c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86">
        <f t="shared" si="183"/>
        <v>6.1731111135013172E-2</v>
      </c>
      <c r="BE150" s="86">
        <f t="shared" si="184"/>
        <v>1.0243730130695905E-2</v>
      </c>
      <c r="BF150" s="16"/>
      <c r="BG150" s="16"/>
      <c r="BH150" s="16"/>
      <c r="BI150" s="16"/>
    </row>
    <row r="151" spans="8:61" s="6" customFormat="1" ht="19" hidden="1" customHeight="1">
      <c r="H151" s="16"/>
      <c r="I151" s="16"/>
      <c r="J151" s="16"/>
      <c r="K151" s="16"/>
      <c r="L151" s="16"/>
      <c r="M151" s="16"/>
      <c r="N151" s="17">
        <v>37408</v>
      </c>
      <c r="O151" s="17"/>
      <c r="P151" s="16">
        <v>50.7</v>
      </c>
      <c r="Q151" s="60">
        <f t="shared" si="323"/>
        <v>0.39545999999999998</v>
      </c>
      <c r="R151" s="18">
        <f t="shared" si="206"/>
        <v>3.1199999999999999E-2</v>
      </c>
      <c r="S151" s="60">
        <f t="shared" si="179"/>
        <v>23.307194529069772</v>
      </c>
      <c r="T151" s="61">
        <f t="shared" ref="T151:T202" si="325">S151+P151</f>
        <v>74.007194529069778</v>
      </c>
      <c r="U151" s="16">
        <v>1.0837146282649968</v>
      </c>
      <c r="V151" s="16">
        <v>77.3</v>
      </c>
      <c r="W151" s="62">
        <f t="shared" ref="W151:W206" si="326">Y151/4000</f>
        <v>68.282499999999999</v>
      </c>
      <c r="X151" s="16">
        <v>9550</v>
      </c>
      <c r="Y151" s="16">
        <f>Y$150*(X151/X$150)</f>
        <v>273130</v>
      </c>
      <c r="Z151" s="63">
        <f t="shared" si="186"/>
        <v>1746.4648141995822</v>
      </c>
      <c r="AA151" s="82">
        <f t="shared" ref="AA151:AA207" si="327">AB151+$C$29-$C$28</f>
        <v>5.5500000000000001E-2</v>
      </c>
      <c r="AB151" s="72">
        <f t="shared" ref="AB151" si="328">AC151</f>
        <v>6.5500000000000003E-2</v>
      </c>
      <c r="AC151" s="64">
        <v>6.5500000000000003E-2</v>
      </c>
      <c r="AD151" s="16"/>
      <c r="AE151" s="17">
        <v>37408</v>
      </c>
      <c r="AF151" s="65">
        <f t="shared" si="197"/>
        <v>21.423938679245285</v>
      </c>
      <c r="AG151" s="66">
        <f t="shared" si="198"/>
        <v>30.950805848246638</v>
      </c>
      <c r="AH151" s="66">
        <f>AG151-((AG$20*AR$3)+(AR$4*AG151)+(AL151)+(20%*S151))</f>
        <v>22.743497018673807</v>
      </c>
      <c r="AI151" s="66">
        <f t="shared" si="199"/>
        <v>27.312999999999999</v>
      </c>
      <c r="AJ151" s="66">
        <f t="shared" si="200"/>
        <v>7.8877551020408152</v>
      </c>
      <c r="AK151" s="66">
        <f t="shared" si="201"/>
        <v>17.464648141995823</v>
      </c>
      <c r="AL151" s="24">
        <f t="shared" si="182"/>
        <v>2.2678376898290096</v>
      </c>
      <c r="AM151" s="16"/>
      <c r="AN151" s="70">
        <f t="shared" si="319"/>
        <v>237.58984375</v>
      </c>
      <c r="AO151" s="70">
        <f t="shared" ref="AO151" si="329">AO150</f>
        <v>263.55045000000001</v>
      </c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86">
        <f t="shared" si="183"/>
        <v>5.7273790172371219E-2</v>
      </c>
      <c r="BE151" s="86">
        <f t="shared" si="184"/>
        <v>-4.500000000000004E-2</v>
      </c>
      <c r="BF151" s="16"/>
      <c r="BG151" s="16"/>
      <c r="BH151" s="16"/>
      <c r="BI151" s="16"/>
    </row>
    <row r="152" spans="8:61" s="6" customFormat="1" ht="19" hidden="1" customHeight="1">
      <c r="H152" s="16"/>
      <c r="I152" s="16"/>
      <c r="J152" s="16"/>
      <c r="K152" s="16"/>
      <c r="L152" s="16"/>
      <c r="M152" s="16"/>
      <c r="N152" s="17">
        <v>37500</v>
      </c>
      <c r="O152" s="17"/>
      <c r="P152" s="16">
        <v>51.9</v>
      </c>
      <c r="Q152" s="60">
        <f t="shared" si="323"/>
        <v>0.40481999999999996</v>
      </c>
      <c r="R152" s="18">
        <f t="shared" si="206"/>
        <v>3.1199999999999999E-2</v>
      </c>
      <c r="S152" s="60">
        <f t="shared" ref="S152:S202" si="330">Q152+S151</f>
        <v>23.712014529069773</v>
      </c>
      <c r="T152" s="61">
        <f t="shared" si="325"/>
        <v>75.612014529069768</v>
      </c>
      <c r="U152" s="16">
        <v>1.1193403649418305</v>
      </c>
      <c r="V152" s="16">
        <v>77.900000000000006</v>
      </c>
      <c r="W152" s="62">
        <f t="shared" si="326"/>
        <v>63.935300000000005</v>
      </c>
      <c r="X152" s="16">
        <v>8942</v>
      </c>
      <c r="Y152" s="16">
        <f t="shared" ref="Y152:Y206" si="331">Y$150*(X152/X$150)</f>
        <v>255741.2</v>
      </c>
      <c r="Z152" s="63">
        <f t="shared" si="186"/>
        <v>1770.2084104546045</v>
      </c>
      <c r="AA152" s="82">
        <f t="shared" si="327"/>
        <v>5.5500000000000001E-2</v>
      </c>
      <c r="AB152" s="72">
        <f t="shared" ref="AB152" si="332">AB151</f>
        <v>6.5500000000000003E-2</v>
      </c>
      <c r="AC152" s="18"/>
      <c r="AD152" s="16"/>
      <c r="AE152" s="17">
        <v>37500</v>
      </c>
      <c r="AF152" s="65">
        <f t="shared" si="197"/>
        <v>21.931014150943398</v>
      </c>
      <c r="AG152" s="66">
        <f t="shared" si="198"/>
        <v>31.621963193927026</v>
      </c>
      <c r="AH152" s="66">
        <f>AG152-((AG$20*AR$3)+(AR$4*AG152)+(AL152)+(20%*S152))</f>
        <v>23.253519632031992</v>
      </c>
      <c r="AI152" s="66">
        <f t="shared" si="199"/>
        <v>25.574120000000001</v>
      </c>
      <c r="AJ152" s="66">
        <f t="shared" si="200"/>
        <v>7.9489795918367347</v>
      </c>
      <c r="AK152" s="66">
        <f t="shared" si="201"/>
        <v>17.702084104546046</v>
      </c>
      <c r="AL152" s="24">
        <f t="shared" ref="AL152:AL194" si="333">((SUM(AR$6:AR$8)*AF152)/4)+AL151</f>
        <v>2.3211621283239978</v>
      </c>
      <c r="AM152" s="16"/>
      <c r="AN152" s="70">
        <f t="shared" si="192"/>
        <v>237.58984375</v>
      </c>
      <c r="AO152" s="70">
        <f t="shared" si="193"/>
        <v>263.55045000000001</v>
      </c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86">
        <f t="shared" ref="BD152:BD206" si="334">(AH152/AH151)-1</f>
        <v>2.2424986489079757E-2</v>
      </c>
      <c r="BE152" s="86">
        <f t="shared" ref="BE152:BE206" si="335">(AI152/AI151)-1</f>
        <v>-6.3664921465968471E-2</v>
      </c>
      <c r="BF152" s="16"/>
      <c r="BG152" s="16"/>
      <c r="BH152" s="16"/>
      <c r="BI152" s="16"/>
    </row>
    <row r="153" spans="8:61" s="6" customFormat="1" ht="19" hidden="1" customHeight="1">
      <c r="H153" s="16"/>
      <c r="I153" s="16"/>
      <c r="J153" s="16"/>
      <c r="K153" s="16"/>
      <c r="L153" s="16"/>
      <c r="M153" s="16"/>
      <c r="N153" s="17">
        <v>37591</v>
      </c>
      <c r="O153" s="17"/>
      <c r="P153" s="16">
        <v>53.1</v>
      </c>
      <c r="Q153" s="60">
        <f t="shared" si="323"/>
        <v>0.41417999999999999</v>
      </c>
      <c r="R153" s="18">
        <f t="shared" si="206"/>
        <v>3.1199999999999999E-2</v>
      </c>
      <c r="S153" s="60">
        <f t="shared" si="330"/>
        <v>24.126194529069771</v>
      </c>
      <c r="T153" s="61">
        <f t="shared" si="325"/>
        <v>77.226194529069772</v>
      </c>
      <c r="U153" s="16">
        <v>1.1549661016186645</v>
      </c>
      <c r="V153" s="16">
        <v>78.5</v>
      </c>
      <c r="W153" s="62">
        <f t="shared" si="326"/>
        <v>65.222300000000004</v>
      </c>
      <c r="X153" s="16">
        <v>9122</v>
      </c>
      <c r="Y153" s="16">
        <f t="shared" si="331"/>
        <v>260889.2</v>
      </c>
      <c r="Z153" s="63">
        <f t="shared" ref="Z153:Z207" si="336">Z152*(1+AA152)^0.25</f>
        <v>1794.2748064354146</v>
      </c>
      <c r="AA153" s="82">
        <f t="shared" si="327"/>
        <v>5.5500000000000001E-2</v>
      </c>
      <c r="AB153" s="72">
        <f t="shared" si="195"/>
        <v>6.5500000000000003E-2</v>
      </c>
      <c r="AC153" s="18"/>
      <c r="AD153" s="16"/>
      <c r="AE153" s="17">
        <v>37591</v>
      </c>
      <c r="AF153" s="65">
        <f t="shared" si="197"/>
        <v>22.43808962264151</v>
      </c>
      <c r="AG153" s="66">
        <f t="shared" si="198"/>
        <v>32.297035017714357</v>
      </c>
      <c r="AH153" s="66">
        <f>AG153-((AG$20*AR$3)+(AR$4*AG153)+(AL153)+(20%*S153))</f>
        <v>23.764195209378741</v>
      </c>
      <c r="AI153" s="66">
        <f t="shared" si="199"/>
        <v>26.088920000000002</v>
      </c>
      <c r="AJ153" s="66">
        <f t="shared" si="200"/>
        <v>8.0102040816326525</v>
      </c>
      <c r="AK153" s="66">
        <f t="shared" si="201"/>
        <v>17.942748064354145</v>
      </c>
      <c r="AL153" s="24">
        <f t="shared" si="333"/>
        <v>2.3757195018130899</v>
      </c>
      <c r="AM153" s="16"/>
      <c r="AN153" s="70">
        <f t="shared" si="192"/>
        <v>237.58984375</v>
      </c>
      <c r="AO153" s="70">
        <f t="shared" si="193"/>
        <v>263.55045000000001</v>
      </c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86">
        <f t="shared" si="334"/>
        <v>2.1961216427782704E-2</v>
      </c>
      <c r="BE153" s="86">
        <f t="shared" si="335"/>
        <v>2.0129724893759748E-2</v>
      </c>
      <c r="BF153" s="16"/>
      <c r="BG153" s="16"/>
      <c r="BH153" s="16"/>
      <c r="BI153" s="16"/>
    </row>
    <row r="154" spans="8:61" s="6" customFormat="1" ht="19" hidden="1" customHeight="1">
      <c r="H154" s="16"/>
      <c r="I154" s="16"/>
      <c r="J154" s="16"/>
      <c r="K154" s="16"/>
      <c r="L154" s="16"/>
      <c r="M154" s="16"/>
      <c r="N154" s="17">
        <v>37681</v>
      </c>
      <c r="O154" s="17"/>
      <c r="P154" s="16">
        <v>54.2</v>
      </c>
      <c r="Q154" s="60">
        <f>(P154*R154)/4</f>
        <v>0.35636500000000004</v>
      </c>
      <c r="R154" s="75">
        <v>2.63E-2</v>
      </c>
      <c r="S154" s="60">
        <f t="shared" si="330"/>
        <v>24.482559529069771</v>
      </c>
      <c r="T154" s="61">
        <f t="shared" si="325"/>
        <v>78.682559529069778</v>
      </c>
      <c r="U154" s="16">
        <v>1.1886493508246283</v>
      </c>
      <c r="V154" s="16">
        <v>79.599999999999994</v>
      </c>
      <c r="W154" s="62">
        <f>Y154/4000</f>
        <v>63.570650000000001</v>
      </c>
      <c r="X154" s="16">
        <v>8891</v>
      </c>
      <c r="Y154" s="16">
        <f t="shared" si="331"/>
        <v>254282.6</v>
      </c>
      <c r="Z154" s="63">
        <f t="shared" si="336"/>
        <v>1818.6683906795299</v>
      </c>
      <c r="AA154" s="82">
        <f t="shared" si="327"/>
        <v>5.5500000000000001E-2</v>
      </c>
      <c r="AB154" s="72">
        <f t="shared" si="195"/>
        <v>6.5500000000000003E-2</v>
      </c>
      <c r="AC154" s="18"/>
      <c r="AD154" s="16"/>
      <c r="AE154" s="17">
        <v>37681</v>
      </c>
      <c r="AF154" s="65">
        <f t="shared" si="197"/>
        <v>22.902908805031448</v>
      </c>
      <c r="AG154" s="66">
        <f t="shared" si="198"/>
        <v>32.90610648226604</v>
      </c>
      <c r="AH154" s="66">
        <f>AG154-((AG$20*AR$3)+(AR$4*AG154)+(AL154)+(20%*S154))</f>
        <v>24.221943251448</v>
      </c>
      <c r="AI154" s="66">
        <f t="shared" si="199"/>
        <v>25.428260000000002</v>
      </c>
      <c r="AJ154" s="66">
        <f t="shared" si="200"/>
        <v>8.1224489795918355</v>
      </c>
      <c r="AK154" s="66">
        <f t="shared" si="201"/>
        <v>18.186683906795299</v>
      </c>
      <c r="AL154" s="24">
        <f t="shared" si="333"/>
        <v>2.4314070657134437</v>
      </c>
      <c r="AM154" s="16"/>
      <c r="AN154" s="73">
        <f t="shared" si="316"/>
        <v>260.49275255503147</v>
      </c>
      <c r="AO154" s="73">
        <f t="shared" ref="AO154" si="337">AO153+AI154</f>
        <v>288.97871000000004</v>
      </c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86">
        <f t="shared" si="334"/>
        <v>1.9262088955093404E-2</v>
      </c>
      <c r="BE154" s="86">
        <f t="shared" si="335"/>
        <v>-2.5323393992545462E-2</v>
      </c>
      <c r="BF154" s="16"/>
      <c r="BG154" s="16"/>
      <c r="BH154" s="16"/>
      <c r="BI154" s="16"/>
    </row>
    <row r="155" spans="8:61" s="6" customFormat="1" ht="19" hidden="1" customHeight="1">
      <c r="H155" s="16"/>
      <c r="I155" s="16"/>
      <c r="J155" s="16"/>
      <c r="K155" s="16"/>
      <c r="L155" s="16"/>
      <c r="M155" s="16"/>
      <c r="N155" s="17">
        <v>37773</v>
      </c>
      <c r="O155" s="17"/>
      <c r="P155" s="16">
        <v>57</v>
      </c>
      <c r="Q155" s="60">
        <f t="shared" si="323"/>
        <v>0.37477500000000002</v>
      </c>
      <c r="R155" s="18">
        <f t="shared" si="206"/>
        <v>2.63E-2</v>
      </c>
      <c r="S155" s="60">
        <f t="shared" si="330"/>
        <v>24.857334529069771</v>
      </c>
      <c r="T155" s="61">
        <f t="shared" si="325"/>
        <v>81.857334529069774</v>
      </c>
      <c r="U155" s="16">
        <v>1.2580874744693678</v>
      </c>
      <c r="V155" s="16">
        <v>79.599999999999994</v>
      </c>
      <c r="W155" s="62">
        <f t="shared" si="326"/>
        <v>67.538899999999998</v>
      </c>
      <c r="X155" s="16">
        <v>9446</v>
      </c>
      <c r="Y155" s="16">
        <f t="shared" si="331"/>
        <v>270155.59999999998</v>
      </c>
      <c r="Z155" s="63">
        <f t="shared" si="336"/>
        <v>1843.3936113876589</v>
      </c>
      <c r="AA155" s="82">
        <f t="shared" si="327"/>
        <v>5.5500000000000001E-2</v>
      </c>
      <c r="AB155" s="72">
        <f t="shared" ref="AB155" si="338">AC155</f>
        <v>6.5500000000000003E-2</v>
      </c>
      <c r="AC155" s="64">
        <v>6.5500000000000003E-2</v>
      </c>
      <c r="AD155" s="16"/>
      <c r="AE155" s="17">
        <v>37773</v>
      </c>
      <c r="AF155" s="65">
        <f t="shared" si="197"/>
        <v>24.086084905660378</v>
      </c>
      <c r="AG155" s="66">
        <f t="shared" si="198"/>
        <v>34.23384016089198</v>
      </c>
      <c r="AH155" s="66">
        <f>AG155-((AG$20*AR$3)+(AR$4*AG155)+(AL155)+(20%*S155))</f>
        <v>25.363048170708971</v>
      </c>
      <c r="AI155" s="66">
        <f t="shared" si="199"/>
        <v>27.015559999999997</v>
      </c>
      <c r="AJ155" s="66">
        <f t="shared" si="200"/>
        <v>8.1224489795918355</v>
      </c>
      <c r="AK155" s="66">
        <f t="shared" si="201"/>
        <v>18.433936113876587</v>
      </c>
      <c r="AL155" s="24">
        <f t="shared" si="333"/>
        <v>2.489971477933373</v>
      </c>
      <c r="AM155" s="16"/>
      <c r="AN155" s="70">
        <f t="shared" si="319"/>
        <v>260.49275255503147</v>
      </c>
      <c r="AO155" s="70">
        <f t="shared" ref="AO155:AO205" si="339">AO154</f>
        <v>288.97871000000004</v>
      </c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86">
        <f t="shared" si="334"/>
        <v>4.7110378693202337E-2</v>
      </c>
      <c r="BE155" s="86">
        <f t="shared" si="335"/>
        <v>6.2422674614778906E-2</v>
      </c>
      <c r="BF155" s="16"/>
      <c r="BG155" s="16"/>
      <c r="BH155" s="16"/>
      <c r="BI155" s="16"/>
    </row>
    <row r="156" spans="8:61" s="6" customFormat="1" ht="19" hidden="1" customHeight="1">
      <c r="H156" s="16"/>
      <c r="I156" s="16"/>
      <c r="J156" s="16"/>
      <c r="K156" s="16"/>
      <c r="L156" s="16"/>
      <c r="M156" s="16"/>
      <c r="N156" s="17">
        <v>37865</v>
      </c>
      <c r="O156" s="17"/>
      <c r="P156" s="16">
        <v>59.5</v>
      </c>
      <c r="Q156" s="60">
        <f t="shared" si="323"/>
        <v>0.39121250000000002</v>
      </c>
      <c r="R156" s="18">
        <f t="shared" si="206"/>
        <v>2.63E-2</v>
      </c>
      <c r="S156" s="60">
        <f t="shared" si="330"/>
        <v>25.248547029069773</v>
      </c>
      <c r="T156" s="61">
        <f t="shared" si="325"/>
        <v>84.748547029069769</v>
      </c>
      <c r="U156" s="16">
        <v>1.321274777084964</v>
      </c>
      <c r="V156" s="16">
        <v>80.099999999999994</v>
      </c>
      <c r="W156" s="62">
        <f t="shared" si="326"/>
        <v>72.336550000000003</v>
      </c>
      <c r="X156" s="16">
        <v>10117</v>
      </c>
      <c r="Y156" s="16">
        <f t="shared" si="331"/>
        <v>289346.2</v>
      </c>
      <c r="Z156" s="63">
        <f t="shared" si="336"/>
        <v>1868.454977234835</v>
      </c>
      <c r="AA156" s="82">
        <f t="shared" si="327"/>
        <v>5.5500000000000001E-2</v>
      </c>
      <c r="AB156" s="72">
        <f t="shared" ref="AB156:AB202" si="340">AB155</f>
        <v>6.5500000000000003E-2</v>
      </c>
      <c r="AC156" s="18"/>
      <c r="AD156" s="16"/>
      <c r="AE156" s="17">
        <v>37865</v>
      </c>
      <c r="AF156" s="65">
        <f t="shared" si="197"/>
        <v>25.14249213836478</v>
      </c>
      <c r="AG156" s="66">
        <f t="shared" si="198"/>
        <v>35.442984181590859</v>
      </c>
      <c r="AH156" s="66">
        <f>AG156-((AG$20*AR$3)+(AR$4*AG156)+(AL156)+(20%*S156))</f>
        <v>26.384450903788917</v>
      </c>
      <c r="AI156" s="66">
        <f t="shared" si="199"/>
        <v>28.934620000000002</v>
      </c>
      <c r="AJ156" s="66">
        <f t="shared" si="200"/>
        <v>8.1734693877551017</v>
      </c>
      <c r="AK156" s="66">
        <f t="shared" si="201"/>
        <v>18.684549772348351</v>
      </c>
      <c r="AL156" s="24">
        <f t="shared" si="333"/>
        <v>2.5511045047243517</v>
      </c>
      <c r="AM156" s="16"/>
      <c r="AN156" s="70">
        <f t="shared" si="319"/>
        <v>260.49275255503147</v>
      </c>
      <c r="AO156" s="70">
        <f t="shared" si="339"/>
        <v>288.97871000000004</v>
      </c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86">
        <f t="shared" si="334"/>
        <v>4.0271292559367344E-2</v>
      </c>
      <c r="BE156" s="86">
        <f t="shared" si="335"/>
        <v>7.103535888206669E-2</v>
      </c>
      <c r="BF156" s="16"/>
      <c r="BG156" s="16"/>
      <c r="BH156" s="16"/>
      <c r="BI156" s="16"/>
    </row>
    <row r="157" spans="8:61" s="6" customFormat="1" ht="19" hidden="1" customHeight="1">
      <c r="H157" s="16"/>
      <c r="I157" s="16"/>
      <c r="J157" s="16"/>
      <c r="K157" s="16"/>
      <c r="L157" s="16"/>
      <c r="M157" s="16"/>
      <c r="N157" s="17">
        <v>37956</v>
      </c>
      <c r="O157" s="17"/>
      <c r="P157" s="16">
        <v>62.1</v>
      </c>
      <c r="Q157" s="60">
        <f t="shared" si="323"/>
        <v>0.40830749999999999</v>
      </c>
      <c r="R157" s="18">
        <f t="shared" si="206"/>
        <v>2.63E-2</v>
      </c>
      <c r="S157" s="60">
        <f t="shared" si="330"/>
        <v>25.656854529069772</v>
      </c>
      <c r="T157" s="61">
        <f t="shared" si="325"/>
        <v>87.75685452906977</v>
      </c>
      <c r="U157" s="16">
        <v>1.369710052995744</v>
      </c>
      <c r="V157" s="16">
        <v>80.3</v>
      </c>
      <c r="W157" s="62">
        <f t="shared" si="326"/>
        <v>75.947299999999998</v>
      </c>
      <c r="X157" s="16">
        <v>10622</v>
      </c>
      <c r="Y157" s="16">
        <f t="shared" si="331"/>
        <v>303789.2</v>
      </c>
      <c r="Z157" s="63">
        <f t="shared" si="336"/>
        <v>1893.8570581925801</v>
      </c>
      <c r="AA157" s="82">
        <f t="shared" si="327"/>
        <v>5.5500000000000001E-2</v>
      </c>
      <c r="AB157" s="72">
        <f t="shared" si="340"/>
        <v>6.5500000000000003E-2</v>
      </c>
      <c r="AC157" s="18"/>
      <c r="AD157" s="16"/>
      <c r="AE157" s="17">
        <v>37956</v>
      </c>
      <c r="AF157" s="65">
        <f t="shared" ref="AF157:AF164" si="341">P157/P$20</f>
        <v>26.241155660377359</v>
      </c>
      <c r="AG157" s="66">
        <f t="shared" ref="AG157:AG164" si="342">(T157/T$20)</f>
        <v>36.701098908906339</v>
      </c>
      <c r="AH157" s="66">
        <f>AG157-((AG$20*AR$3)+(AR$4*AG157)+(AL157)+(20%*S157))</f>
        <v>27.446775156066909</v>
      </c>
      <c r="AI157" s="66">
        <f t="shared" ref="AI157:AI164" si="343">Y157/Y$20</f>
        <v>30.378920000000001</v>
      </c>
      <c r="AJ157" s="66">
        <f t="shared" ref="AJ157:AJ164" si="344">V157/V$20</f>
        <v>8.1938775510204067</v>
      </c>
      <c r="AK157" s="66">
        <f t="shared" ref="AK157:AK164" si="345">Z157/100</f>
        <v>18.938570581925802</v>
      </c>
      <c r="AL157" s="24">
        <f t="shared" si="333"/>
        <v>2.6149088906692222</v>
      </c>
      <c r="AM157" s="16"/>
      <c r="AN157" s="70">
        <f t="shared" si="319"/>
        <v>260.49275255503147</v>
      </c>
      <c r="AO157" s="70">
        <f t="shared" si="339"/>
        <v>288.97871000000004</v>
      </c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86">
        <f t="shared" si="334"/>
        <v>4.0263269307811766E-2</v>
      </c>
      <c r="BE157" s="86">
        <f t="shared" si="335"/>
        <v>4.9915982998912645E-2</v>
      </c>
      <c r="BF157" s="16"/>
      <c r="BG157" s="16"/>
      <c r="BH157" s="16"/>
      <c r="BI157" s="16"/>
    </row>
    <row r="158" spans="8:61" s="6" customFormat="1" ht="19" hidden="1" customHeight="1">
      <c r="H158" s="16"/>
      <c r="I158" s="16"/>
      <c r="J158" s="16"/>
      <c r="K158" s="16"/>
      <c r="L158" s="16"/>
      <c r="M158" s="16"/>
      <c r="N158" s="17">
        <v>38047</v>
      </c>
      <c r="O158" s="17"/>
      <c r="P158" s="16">
        <v>60.8</v>
      </c>
      <c r="Q158" s="60">
        <f t="shared" si="323"/>
        <v>0.34808</v>
      </c>
      <c r="R158" s="75">
        <v>2.29E-2</v>
      </c>
      <c r="S158" s="60">
        <f t="shared" si="330"/>
        <v>26.004934529069772</v>
      </c>
      <c r="T158" s="61">
        <f t="shared" si="325"/>
        <v>86.804934529069769</v>
      </c>
      <c r="U158" s="16">
        <v>1.3513095414833407</v>
      </c>
      <c r="V158" s="16">
        <v>81.099999999999994</v>
      </c>
      <c r="W158" s="62">
        <f t="shared" si="326"/>
        <v>79.350700000000003</v>
      </c>
      <c r="X158" s="16">
        <v>11098</v>
      </c>
      <c r="Y158" s="16">
        <f t="shared" si="331"/>
        <v>317402.8</v>
      </c>
      <c r="Z158" s="63">
        <f t="shared" si="336"/>
        <v>1919.604486362244</v>
      </c>
      <c r="AA158" s="82">
        <f t="shared" si="327"/>
        <v>5.5500000000000001E-2</v>
      </c>
      <c r="AB158" s="72">
        <f t="shared" si="340"/>
        <v>6.5500000000000003E-2</v>
      </c>
      <c r="AC158" s="18"/>
      <c r="AD158" s="16"/>
      <c r="AE158" s="17">
        <v>38047</v>
      </c>
      <c r="AF158" s="65">
        <f t="shared" si="341"/>
        <v>25.691823899371069</v>
      </c>
      <c r="AG158" s="66">
        <f t="shared" si="342"/>
        <v>36.302993139723448</v>
      </c>
      <c r="AH158" s="66">
        <f>AG158-((AG$20*AR$3)+(AR$4*AG158)+(AL158)+(20%*S158))</f>
        <v>26.932508911283406</v>
      </c>
      <c r="AI158" s="66">
        <f t="shared" si="343"/>
        <v>31.740279999999998</v>
      </c>
      <c r="AJ158" s="66">
        <f t="shared" si="344"/>
        <v>8.2755102040816322</v>
      </c>
      <c r="AK158" s="66">
        <f t="shared" si="345"/>
        <v>19.19604486362244</v>
      </c>
      <c r="AL158" s="24">
        <f t="shared" si="333"/>
        <v>2.6773775970371467</v>
      </c>
      <c r="AM158" s="16"/>
      <c r="AN158" s="73">
        <f t="shared" si="316"/>
        <v>286.18457645440253</v>
      </c>
      <c r="AO158" s="73">
        <f t="shared" ref="AO158" si="346">AO157+AI158</f>
        <v>320.71899000000002</v>
      </c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86">
        <f t="shared" si="334"/>
        <v>-1.8736854944134573E-2</v>
      </c>
      <c r="BE158" s="86">
        <f t="shared" si="335"/>
        <v>4.4812652984371981E-2</v>
      </c>
      <c r="BF158" s="16"/>
      <c r="BG158" s="16"/>
      <c r="BH158" s="16"/>
      <c r="BI158" s="16"/>
    </row>
    <row r="159" spans="8:61" s="6" customFormat="1" ht="19" hidden="1" customHeight="1">
      <c r="H159" s="16"/>
      <c r="I159" s="16"/>
      <c r="J159" s="16"/>
      <c r="K159" s="16"/>
      <c r="L159" s="16"/>
      <c r="M159" s="16"/>
      <c r="N159" s="17">
        <v>38139</v>
      </c>
      <c r="O159" s="17"/>
      <c r="P159" s="16">
        <v>60.9</v>
      </c>
      <c r="Q159" s="60">
        <f t="shared" si="323"/>
        <v>0.34865249999999998</v>
      </c>
      <c r="R159" s="18">
        <f t="shared" ref="R159:R205" si="347">R158</f>
        <v>2.29E-2</v>
      </c>
      <c r="S159" s="60">
        <f t="shared" si="330"/>
        <v>26.353587029069772</v>
      </c>
      <c r="T159" s="61">
        <f t="shared" si="325"/>
        <v>87.253587029069763</v>
      </c>
      <c r="U159" s="16">
        <v>1.3581239933957765</v>
      </c>
      <c r="V159" s="16">
        <v>81.3</v>
      </c>
      <c r="W159" s="62">
        <f t="shared" si="326"/>
        <v>82.653999999999996</v>
      </c>
      <c r="X159" s="16">
        <v>11560</v>
      </c>
      <c r="Y159" s="16">
        <f t="shared" si="331"/>
        <v>330616</v>
      </c>
      <c r="Z159" s="63">
        <f t="shared" si="336"/>
        <v>1945.701956819674</v>
      </c>
      <c r="AA159" s="82">
        <f t="shared" si="327"/>
        <v>6.0499999999999991E-2</v>
      </c>
      <c r="AB159" s="72">
        <f t="shared" ref="AB159" si="348">AC159</f>
        <v>7.0499999999999993E-2</v>
      </c>
      <c r="AC159" s="64">
        <v>7.0499999999999993E-2</v>
      </c>
      <c r="AD159" s="16"/>
      <c r="AE159" s="17">
        <v>38139</v>
      </c>
      <c r="AF159" s="65">
        <f t="shared" si="341"/>
        <v>25.734080188679247</v>
      </c>
      <c r="AG159" s="66">
        <f t="shared" si="342"/>
        <v>36.490625659901958</v>
      </c>
      <c r="AH159" s="66">
        <f>AG159-((AG$20*AR$3)+(AR$4*AG159)+(AL159)+(20%*S159))</f>
        <v>26.980334179704013</v>
      </c>
      <c r="AI159" s="66">
        <f t="shared" si="343"/>
        <v>33.061599999999999</v>
      </c>
      <c r="AJ159" s="66">
        <f t="shared" si="344"/>
        <v>8.2959183673469372</v>
      </c>
      <c r="AK159" s="66">
        <f t="shared" si="345"/>
        <v>19.457019568196742</v>
      </c>
      <c r="AL159" s="24">
        <f t="shared" si="333"/>
        <v>2.7399490479879134</v>
      </c>
      <c r="AM159" s="16"/>
      <c r="AN159" s="70">
        <f t="shared" si="319"/>
        <v>286.18457645440253</v>
      </c>
      <c r="AO159" s="70">
        <f t="shared" ref="AO159" si="349">AO158</f>
        <v>320.71899000000002</v>
      </c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86">
        <f t="shared" si="334"/>
        <v>1.775745014255703E-3</v>
      </c>
      <c r="BE159" s="86">
        <f t="shared" si="335"/>
        <v>4.1629122364390092E-2</v>
      </c>
      <c r="BF159" s="16"/>
      <c r="BG159" s="16"/>
      <c r="BH159" s="16"/>
      <c r="BI159" s="16"/>
    </row>
    <row r="160" spans="8:61" s="6" customFormat="1" ht="19" hidden="1" customHeight="1">
      <c r="H160" s="16"/>
      <c r="I160" s="16"/>
      <c r="J160" s="16"/>
      <c r="K160" s="16"/>
      <c r="L160" s="16"/>
      <c r="M160" s="16"/>
      <c r="N160" s="17">
        <v>38231</v>
      </c>
      <c r="O160" s="17"/>
      <c r="P160" s="16">
        <v>60.9</v>
      </c>
      <c r="Q160" s="60">
        <f t="shared" si="323"/>
        <v>0.34865249999999998</v>
      </c>
      <c r="R160" s="18">
        <f t="shared" si="347"/>
        <v>2.29E-2</v>
      </c>
      <c r="S160" s="60">
        <f t="shared" si="330"/>
        <v>26.702239529069772</v>
      </c>
      <c r="T160" s="61">
        <f t="shared" si="325"/>
        <v>87.602239529069777</v>
      </c>
      <c r="U160" s="16">
        <v>1.3734396509838851</v>
      </c>
      <c r="V160" s="16">
        <v>81.5</v>
      </c>
      <c r="W160" s="62">
        <f t="shared" si="326"/>
        <v>87.165650000000014</v>
      </c>
      <c r="X160" s="16">
        <v>12191</v>
      </c>
      <c r="Y160" s="16">
        <f t="shared" si="331"/>
        <v>348662.60000000003</v>
      </c>
      <c r="Z160" s="63">
        <f t="shared" si="336"/>
        <v>1974.4856596944851</v>
      </c>
      <c r="AA160" s="82">
        <f t="shared" si="327"/>
        <v>6.0499999999999991E-2</v>
      </c>
      <c r="AB160" s="72">
        <f t="shared" ref="AB160" si="350">AB159</f>
        <v>7.0499999999999993E-2</v>
      </c>
      <c r="AC160" s="18"/>
      <c r="AD160" s="16"/>
      <c r="AE160" s="17">
        <v>38231</v>
      </c>
      <c r="AF160" s="65">
        <f t="shared" si="341"/>
        <v>25.734080188679247</v>
      </c>
      <c r="AG160" s="66">
        <f t="shared" si="342"/>
        <v>36.636436832784177</v>
      </c>
      <c r="AH160" s="66">
        <f>AG160-((AG$20*AR$3)+(AR$4*AG160)+(AL160)+(20%*S160))</f>
        <v>26.988010954720174</v>
      </c>
      <c r="AI160" s="66">
        <f t="shared" si="343"/>
        <v>34.866260000000004</v>
      </c>
      <c r="AJ160" s="66">
        <f t="shared" si="344"/>
        <v>8.316326530612244</v>
      </c>
      <c r="AK160" s="66">
        <f t="shared" si="345"/>
        <v>19.74485659694485</v>
      </c>
      <c r="AL160" s="24">
        <f t="shared" si="333"/>
        <v>2.80252049893868</v>
      </c>
      <c r="AM160" s="16"/>
      <c r="AN160" s="70">
        <f t="shared" si="319"/>
        <v>286.18457645440253</v>
      </c>
      <c r="AO160" s="70">
        <f t="shared" si="339"/>
        <v>320.71899000000002</v>
      </c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86">
        <f t="shared" si="334"/>
        <v>2.845322435605091E-4</v>
      </c>
      <c r="BE160" s="86">
        <f t="shared" si="335"/>
        <v>5.4584775086505388E-2</v>
      </c>
      <c r="BF160" s="16"/>
      <c r="BG160" s="16"/>
      <c r="BH160" s="16"/>
      <c r="BI160" s="16"/>
    </row>
    <row r="161" spans="8:61" s="6" customFormat="1" ht="19" hidden="1" customHeight="1">
      <c r="H161" s="16"/>
      <c r="I161" s="16"/>
      <c r="J161" s="16"/>
      <c r="K161" s="16"/>
      <c r="L161" s="16"/>
      <c r="M161" s="16"/>
      <c r="N161" s="17">
        <v>38322</v>
      </c>
      <c r="O161" s="17"/>
      <c r="P161" s="16">
        <v>62.4</v>
      </c>
      <c r="Q161" s="60">
        <f t="shared" si="323"/>
        <v>0.35724</v>
      </c>
      <c r="R161" s="18">
        <f t="shared" si="347"/>
        <v>2.29E-2</v>
      </c>
      <c r="S161" s="60">
        <f t="shared" si="330"/>
        <v>27.059479529069772</v>
      </c>
      <c r="T161" s="61">
        <f t="shared" si="325"/>
        <v>89.459479529069768</v>
      </c>
      <c r="U161" s="16">
        <v>1.4180284390998821</v>
      </c>
      <c r="V161" s="16">
        <v>82.1</v>
      </c>
      <c r="W161" s="62">
        <f t="shared" si="326"/>
        <v>96.982600000000005</v>
      </c>
      <c r="X161" s="16">
        <v>13564</v>
      </c>
      <c r="Y161" s="16">
        <f t="shared" si="331"/>
        <v>387930.4</v>
      </c>
      <c r="Z161" s="63">
        <f t="shared" si="336"/>
        <v>2003.6951737004827</v>
      </c>
      <c r="AA161" s="82">
        <f t="shared" si="327"/>
        <v>6.0499999999999991E-2</v>
      </c>
      <c r="AB161" s="72">
        <f t="shared" si="340"/>
        <v>7.0499999999999993E-2</v>
      </c>
      <c r="AC161" s="18"/>
      <c r="AD161" s="16"/>
      <c r="AE161" s="17">
        <v>38322</v>
      </c>
      <c r="AF161" s="65">
        <f t="shared" si="341"/>
        <v>26.367924528301888</v>
      </c>
      <c r="AG161" s="66">
        <f t="shared" si="342"/>
        <v>37.413159623309873</v>
      </c>
      <c r="AH161" s="66">
        <f>AG161-((AG$20*AR$3)+(AR$4*AG161)+(AL161)+(20%*S161))</f>
        <v>27.598104213931446</v>
      </c>
      <c r="AI161" s="66">
        <f t="shared" si="343"/>
        <v>38.793040000000005</v>
      </c>
      <c r="AJ161" s="66">
        <f t="shared" si="344"/>
        <v>8.3775510204081627</v>
      </c>
      <c r="AK161" s="66">
        <f t="shared" si="345"/>
        <v>20.036951737004827</v>
      </c>
      <c r="AL161" s="24">
        <f t="shared" si="333"/>
        <v>2.8666331186320764</v>
      </c>
      <c r="AM161" s="16"/>
      <c r="AN161" s="70">
        <f t="shared" si="319"/>
        <v>286.18457645440253</v>
      </c>
      <c r="AO161" s="70">
        <f t="shared" si="339"/>
        <v>320.71899000000002</v>
      </c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86">
        <f t="shared" si="334"/>
        <v>2.2606084614196664E-2</v>
      </c>
      <c r="BE161" s="86">
        <f t="shared" si="335"/>
        <v>0.1126240669346239</v>
      </c>
      <c r="BF161" s="16"/>
      <c r="BG161" s="16"/>
      <c r="BH161" s="16"/>
      <c r="BI161" s="16"/>
    </row>
    <row r="162" spans="8:61" s="6" customFormat="1" ht="19" hidden="1" customHeight="1">
      <c r="H162" s="16"/>
      <c r="I162" s="16"/>
      <c r="J162" s="16"/>
      <c r="K162" s="16"/>
      <c r="L162" s="16"/>
      <c r="M162" s="16"/>
      <c r="N162" s="17">
        <v>38412</v>
      </c>
      <c r="O162" s="17"/>
      <c r="P162" s="16">
        <v>62.5</v>
      </c>
      <c r="Q162" s="60">
        <f t="shared" si="323"/>
        <v>0.359375</v>
      </c>
      <c r="R162" s="75">
        <v>2.3E-2</v>
      </c>
      <c r="S162" s="60">
        <f t="shared" si="330"/>
        <v>27.418854529069772</v>
      </c>
      <c r="T162" s="61">
        <f t="shared" si="325"/>
        <v>89.918854529069776</v>
      </c>
      <c r="U162" s="16">
        <v>1.4252277624818923</v>
      </c>
      <c r="V162" s="16">
        <v>82.7</v>
      </c>
      <c r="W162" s="62">
        <f t="shared" si="326"/>
        <v>99.199099999999987</v>
      </c>
      <c r="X162" s="16">
        <v>13874</v>
      </c>
      <c r="Y162" s="16">
        <f t="shared" si="331"/>
        <v>396796.39999999997</v>
      </c>
      <c r="Z162" s="63">
        <f t="shared" si="336"/>
        <v>2033.336798066096</v>
      </c>
      <c r="AA162" s="82">
        <f t="shared" si="327"/>
        <v>6.0499999999999991E-2</v>
      </c>
      <c r="AB162" s="72">
        <f t="shared" si="340"/>
        <v>7.0499999999999993E-2</v>
      </c>
      <c r="AC162" s="18"/>
      <c r="AD162" s="16"/>
      <c r="AE162" s="17">
        <v>38412</v>
      </c>
      <c r="AF162" s="65">
        <f t="shared" si="341"/>
        <v>26.410180817610065</v>
      </c>
      <c r="AG162" s="66">
        <f t="shared" si="342"/>
        <v>37.605276437452233</v>
      </c>
      <c r="AH162" s="66">
        <f>AG162-((AG$20*AR$3)+(AR$4*AG162)+(AL162)+(20%*S162))</f>
        <v>27.646445991231872</v>
      </c>
      <c r="AI162" s="66">
        <f t="shared" si="343"/>
        <v>39.679639999999999</v>
      </c>
      <c r="AJ162" s="66">
        <f t="shared" si="344"/>
        <v>8.4387755102040813</v>
      </c>
      <c r="AK162" s="66">
        <f t="shared" si="345"/>
        <v>20.33336798066096</v>
      </c>
      <c r="AL162" s="24">
        <f t="shared" si="333"/>
        <v>2.9308484829083148</v>
      </c>
      <c r="AM162" s="16"/>
      <c r="AN162" s="73">
        <f t="shared" si="316"/>
        <v>312.5947572720126</v>
      </c>
      <c r="AO162" s="73">
        <f t="shared" ref="AO162" si="351">AO161+AI162</f>
        <v>360.39863000000003</v>
      </c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86">
        <f t="shared" si="334"/>
        <v>1.7516339863672403E-3</v>
      </c>
      <c r="BE162" s="86">
        <f t="shared" si="335"/>
        <v>2.285461515777043E-2</v>
      </c>
      <c r="BF162" s="16"/>
      <c r="BG162" s="16"/>
      <c r="BH162" s="16"/>
      <c r="BI162" s="16"/>
    </row>
    <row r="163" spans="8:61" s="6" customFormat="1" ht="19" hidden="1" customHeight="1">
      <c r="H163" s="16"/>
      <c r="I163" s="16"/>
      <c r="J163" s="16"/>
      <c r="K163" s="16"/>
      <c r="L163" s="16"/>
      <c r="M163" s="16"/>
      <c r="N163" s="17">
        <v>38504</v>
      </c>
      <c r="O163" s="17"/>
      <c r="P163" s="16">
        <v>63.2</v>
      </c>
      <c r="Q163" s="60">
        <f t="shared" si="323"/>
        <v>0.3634</v>
      </c>
      <c r="R163" s="18">
        <f t="shared" si="347"/>
        <v>2.3E-2</v>
      </c>
      <c r="S163" s="60">
        <f t="shared" si="330"/>
        <v>27.782254529069771</v>
      </c>
      <c r="T163" s="61">
        <f t="shared" si="325"/>
        <v>90.982254529069778</v>
      </c>
      <c r="U163" s="16">
        <v>1.4533529593039471</v>
      </c>
      <c r="V163" s="16">
        <v>83</v>
      </c>
      <c r="W163" s="62">
        <f t="shared" si="326"/>
        <v>103.10299999999999</v>
      </c>
      <c r="X163" s="16">
        <v>14420</v>
      </c>
      <c r="Y163" s="16">
        <f t="shared" si="331"/>
        <v>412412</v>
      </c>
      <c r="Z163" s="63">
        <f t="shared" si="336"/>
        <v>2063.4169252072634</v>
      </c>
      <c r="AA163" s="82">
        <f t="shared" si="327"/>
        <v>6.3E-2</v>
      </c>
      <c r="AB163" s="72">
        <f t="shared" ref="AB163" si="352">AC163</f>
        <v>7.2999999999999995E-2</v>
      </c>
      <c r="AC163" s="64">
        <v>7.2999999999999995E-2</v>
      </c>
      <c r="AD163" s="16"/>
      <c r="AE163" s="17">
        <v>38504</v>
      </c>
      <c r="AF163" s="65">
        <f t="shared" si="341"/>
        <v>26.705974842767297</v>
      </c>
      <c r="AG163" s="66">
        <f t="shared" si="342"/>
        <v>38.050004644601032</v>
      </c>
      <c r="AH163" s="66">
        <f>AG163-((AG$20*AR$3)+(AR$4*AG163)+(AL163)+(20%*S163))</f>
        <v>27.935770493738588</v>
      </c>
      <c r="AI163" s="66">
        <f t="shared" si="343"/>
        <v>41.241199999999999</v>
      </c>
      <c r="AJ163" s="66">
        <f t="shared" si="344"/>
        <v>8.4693877551020407</v>
      </c>
      <c r="AK163" s="66">
        <f t="shared" si="345"/>
        <v>20.634169252072635</v>
      </c>
      <c r="AL163" s="24">
        <f t="shared" si="333"/>
        <v>2.995783059264447</v>
      </c>
      <c r="AM163" s="16"/>
      <c r="AN163" s="70">
        <f t="shared" si="319"/>
        <v>312.5947572720126</v>
      </c>
      <c r="AO163" s="70">
        <f t="shared" ref="AO163" si="353">AO162</f>
        <v>360.39863000000003</v>
      </c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86">
        <f t="shared" si="334"/>
        <v>1.0465160787700434E-2</v>
      </c>
      <c r="BE163" s="86">
        <f t="shared" si="335"/>
        <v>3.9354187689202735E-2</v>
      </c>
      <c r="BF163" s="16"/>
      <c r="BG163" s="16"/>
      <c r="BH163" s="16"/>
      <c r="BI163" s="16"/>
    </row>
    <row r="164" spans="8:61" s="6" customFormat="1" ht="19" hidden="1" customHeight="1">
      <c r="H164" s="16"/>
      <c r="I164" s="16"/>
      <c r="J164" s="16"/>
      <c r="K164" s="16"/>
      <c r="L164" s="16"/>
      <c r="M164" s="16"/>
      <c r="N164" s="17">
        <v>38596</v>
      </c>
      <c r="O164" s="17"/>
      <c r="P164" s="16">
        <v>63.1</v>
      </c>
      <c r="Q164" s="60">
        <f t="shared" si="323"/>
        <v>0.36282500000000001</v>
      </c>
      <c r="R164" s="18">
        <f t="shared" si="347"/>
        <v>2.3E-2</v>
      </c>
      <c r="S164" s="60">
        <f t="shared" si="330"/>
        <v>28.145079529069772</v>
      </c>
      <c r="T164" s="61">
        <f t="shared" si="325"/>
        <v>91.24507952906977</v>
      </c>
      <c r="U164" s="16">
        <v>1.4648606162442301</v>
      </c>
      <c r="V164" s="16">
        <v>83.9</v>
      </c>
      <c r="W164" s="62">
        <f t="shared" si="326"/>
        <v>113.40615000000001</v>
      </c>
      <c r="X164" s="16">
        <v>15861</v>
      </c>
      <c r="Y164" s="16">
        <f t="shared" si="331"/>
        <v>453624.60000000003</v>
      </c>
      <c r="Z164" s="63">
        <f t="shared" si="336"/>
        <v>2095.1750062167807</v>
      </c>
      <c r="AA164" s="82">
        <f t="shared" si="327"/>
        <v>6.3E-2</v>
      </c>
      <c r="AB164" s="72">
        <f t="shared" ref="AB164" si="354">AB163</f>
        <v>7.2999999999999995E-2</v>
      </c>
      <c r="AC164" s="18"/>
      <c r="AD164" s="16"/>
      <c r="AE164" s="17">
        <v>38596</v>
      </c>
      <c r="AF164" s="65">
        <f t="shared" si="341"/>
        <v>26.66371855345912</v>
      </c>
      <c r="AG164" s="66">
        <f t="shared" si="342"/>
        <v>38.159921600632515</v>
      </c>
      <c r="AH164" s="66">
        <f>AG164-((AG$20*AR$3)+(AR$4*AG164)+(AL164)+(20%*S164))</f>
        <v>27.903893939755523</v>
      </c>
      <c r="AI164" s="66">
        <f t="shared" si="343"/>
        <v>45.362460000000006</v>
      </c>
      <c r="AJ164" s="66">
        <f t="shared" si="344"/>
        <v>8.5612244897959187</v>
      </c>
      <c r="AK164" s="66">
        <f t="shared" si="345"/>
        <v>20.951750062167807</v>
      </c>
      <c r="AL164" s="24">
        <f t="shared" si="333"/>
        <v>3.0606148910377371</v>
      </c>
      <c r="AM164" s="16"/>
      <c r="AN164" s="70">
        <f t="shared" si="319"/>
        <v>312.5947572720126</v>
      </c>
      <c r="AO164" s="70">
        <f t="shared" si="339"/>
        <v>360.39863000000003</v>
      </c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86">
        <f t="shared" si="334"/>
        <v>-1.1410658599951828E-3</v>
      </c>
      <c r="BE164" s="86">
        <f t="shared" si="335"/>
        <v>9.9930651872399689E-2</v>
      </c>
      <c r="BF164" s="16"/>
      <c r="BG164" s="16"/>
      <c r="BH164" s="16"/>
      <c r="BI164" s="16"/>
    </row>
    <row r="165" spans="8:61" s="6" customFormat="1" ht="19" hidden="1" customHeight="1">
      <c r="H165" s="16"/>
      <c r="I165" s="16"/>
      <c r="J165" s="16"/>
      <c r="K165" s="16"/>
      <c r="L165" s="16"/>
      <c r="M165" s="16"/>
      <c r="N165" s="17">
        <v>38687</v>
      </c>
      <c r="O165" s="17"/>
      <c r="P165" s="16">
        <v>64</v>
      </c>
      <c r="Q165" s="60">
        <f t="shared" si="323"/>
        <v>0.36799999999999999</v>
      </c>
      <c r="R165" s="18">
        <f t="shared" si="347"/>
        <v>2.3E-2</v>
      </c>
      <c r="S165" s="60">
        <f t="shared" si="330"/>
        <v>28.513079529069771</v>
      </c>
      <c r="T165" s="61">
        <f t="shared" si="325"/>
        <v>92.513079529069771</v>
      </c>
      <c r="U165" s="16">
        <v>1.5016024801828307</v>
      </c>
      <c r="V165" s="16">
        <v>84.3</v>
      </c>
      <c r="W165" s="62">
        <f t="shared" si="326"/>
        <v>117.3172</v>
      </c>
      <c r="X165" s="16">
        <v>16408</v>
      </c>
      <c r="Y165" s="16">
        <f t="shared" si="331"/>
        <v>469268.8</v>
      </c>
      <c r="Z165" s="63">
        <f t="shared" si="336"/>
        <v>2127.4218763299864</v>
      </c>
      <c r="AA165" s="82">
        <f t="shared" si="327"/>
        <v>6.3E-2</v>
      </c>
      <c r="AB165" s="72">
        <f t="shared" si="340"/>
        <v>7.2999999999999995E-2</v>
      </c>
      <c r="AC165" s="18"/>
      <c r="AD165" s="16"/>
      <c r="AE165" s="17">
        <v>38687</v>
      </c>
      <c r="AF165" s="65">
        <f t="shared" ref="AF165:AF194" si="355">P165/P$20</f>
        <v>27.044025157232706</v>
      </c>
      <c r="AG165" s="66">
        <f t="shared" ref="AG165:AG194" si="356">(T165/T$20)</f>
        <v>38.690216284349532</v>
      </c>
      <c r="AH165" s="66">
        <f>AG165-((AG$20*AR$3)+(AR$4*AG165)+(AL165)+(20%*S165))</f>
        <v>28.273620303104991</v>
      </c>
      <c r="AI165" s="66">
        <f t="shared" ref="AI165:AI194" si="357">Y165/Y$20</f>
        <v>46.926879999999997</v>
      </c>
      <c r="AJ165" s="66">
        <f t="shared" ref="AJ165:AJ194" si="358">V165/V$20</f>
        <v>8.6020408163265305</v>
      </c>
      <c r="AK165" s="66">
        <f t="shared" ref="AK165:AK202" si="359">Z165/100</f>
        <v>21.274218763299864</v>
      </c>
      <c r="AL165" s="24">
        <f t="shared" si="333"/>
        <v>3.1263714240566052</v>
      </c>
      <c r="AM165" s="16"/>
      <c r="AN165" s="70">
        <f t="shared" si="319"/>
        <v>312.5947572720126</v>
      </c>
      <c r="AO165" s="70">
        <f t="shared" si="339"/>
        <v>360.39863000000003</v>
      </c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86">
        <f t="shared" si="334"/>
        <v>1.3249991708960351E-2</v>
      </c>
      <c r="BE165" s="86">
        <f t="shared" si="335"/>
        <v>3.4487106739801821E-2</v>
      </c>
      <c r="BF165" s="16"/>
      <c r="BG165" s="16"/>
      <c r="BH165" s="16"/>
      <c r="BI165" s="16"/>
    </row>
    <row r="166" spans="8:61" s="6" customFormat="1" ht="19" hidden="1" customHeight="1">
      <c r="H166" s="16"/>
      <c r="I166" s="16"/>
      <c r="J166" s="16"/>
      <c r="K166" s="16"/>
      <c r="L166" s="16"/>
      <c r="M166" s="16"/>
      <c r="N166" s="17">
        <v>38777</v>
      </c>
      <c r="O166" s="17"/>
      <c r="P166" s="16">
        <v>65.400000000000006</v>
      </c>
      <c r="Q166" s="60">
        <f t="shared" si="323"/>
        <v>0.49050000000000005</v>
      </c>
      <c r="R166" s="76">
        <v>0.03</v>
      </c>
      <c r="S166" s="60">
        <f t="shared" si="330"/>
        <v>29.003579529069771</v>
      </c>
      <c r="T166" s="61">
        <f t="shared" si="325"/>
        <v>94.403579529069773</v>
      </c>
      <c r="U166" s="16">
        <v>1.5321704973862031</v>
      </c>
      <c r="V166" s="16">
        <v>85</v>
      </c>
      <c r="W166" s="62">
        <f t="shared" si="326"/>
        <v>128.33535000000001</v>
      </c>
      <c r="X166" s="16">
        <v>17949</v>
      </c>
      <c r="Y166" s="16">
        <f t="shared" si="331"/>
        <v>513341.39999999997</v>
      </c>
      <c r="Z166" s="63">
        <f t="shared" si="336"/>
        <v>2160.1650585073453</v>
      </c>
      <c r="AA166" s="82">
        <f t="shared" si="327"/>
        <v>6.3E-2</v>
      </c>
      <c r="AB166" s="72">
        <f t="shared" si="340"/>
        <v>7.2999999999999995E-2</v>
      </c>
      <c r="AC166" s="18"/>
      <c r="AD166" s="16"/>
      <c r="AE166" s="17">
        <v>38777</v>
      </c>
      <c r="AF166" s="65">
        <f t="shared" si="355"/>
        <v>27.635613207547173</v>
      </c>
      <c r="AG166" s="66">
        <f t="shared" si="356"/>
        <v>39.480848854985979</v>
      </c>
      <c r="AH166" s="66">
        <f>AG166-((AG$20*AR$3)+(AR$4*AG166)+(AL166)+(20%*S166))</f>
        <v>28.867332613737325</v>
      </c>
      <c r="AI166" s="66">
        <f t="shared" si="357"/>
        <v>51.334139999999998</v>
      </c>
      <c r="AJ166" s="66">
        <f t="shared" si="358"/>
        <v>8.6734693877551017</v>
      </c>
      <c r="AK166" s="66">
        <f t="shared" si="359"/>
        <v>21.601650585073454</v>
      </c>
      <c r="AL166" s="24">
        <f t="shared" si="333"/>
        <v>3.1935663812352608</v>
      </c>
      <c r="AM166" s="16"/>
      <c r="AN166" s="73">
        <f t="shared" si="316"/>
        <v>340.23037047955978</v>
      </c>
      <c r="AO166" s="73">
        <f t="shared" ref="AO166" si="360">AO165+AI166</f>
        <v>411.73277000000002</v>
      </c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86">
        <f t="shared" si="334"/>
        <v>2.0998807519783114E-2</v>
      </c>
      <c r="BE166" s="86">
        <f t="shared" si="335"/>
        <v>9.3917601170161014E-2</v>
      </c>
      <c r="BF166" s="16"/>
      <c r="BG166" s="16"/>
      <c r="BH166" s="16"/>
      <c r="BI166" s="16"/>
    </row>
    <row r="167" spans="8:61" s="6" customFormat="1" ht="19" hidden="1" customHeight="1">
      <c r="H167" s="16"/>
      <c r="I167" s="16"/>
      <c r="J167" s="16"/>
      <c r="K167" s="16"/>
      <c r="L167" s="16"/>
      <c r="M167" s="16"/>
      <c r="N167" s="17">
        <v>38869</v>
      </c>
      <c r="O167" s="17"/>
      <c r="P167" s="16">
        <v>67.2</v>
      </c>
      <c r="Q167" s="60">
        <f t="shared" si="323"/>
        <v>0.504</v>
      </c>
      <c r="R167" s="18">
        <f t="shared" si="347"/>
        <v>0.03</v>
      </c>
      <c r="S167" s="60">
        <f t="shared" si="330"/>
        <v>29.507579529069773</v>
      </c>
      <c r="T167" s="61">
        <f t="shared" si="325"/>
        <v>96.707579529069776</v>
      </c>
      <c r="U167" s="16">
        <v>1.5839337980583221</v>
      </c>
      <c r="V167" s="16">
        <v>86.2</v>
      </c>
      <c r="W167" s="62">
        <f t="shared" si="326"/>
        <v>128.0565</v>
      </c>
      <c r="X167" s="16">
        <v>17910</v>
      </c>
      <c r="Y167" s="16">
        <f t="shared" si="331"/>
        <v>512226</v>
      </c>
      <c r="Z167" s="63">
        <f t="shared" si="336"/>
        <v>2193.4121914953207</v>
      </c>
      <c r="AA167" s="82">
        <f t="shared" si="327"/>
        <v>6.5500000000000003E-2</v>
      </c>
      <c r="AB167" s="72">
        <f t="shared" ref="AB167" si="361">AC167</f>
        <v>7.5499999999999998E-2</v>
      </c>
      <c r="AC167" s="64">
        <v>7.5499999999999998E-2</v>
      </c>
      <c r="AD167" s="16"/>
      <c r="AE167" s="17">
        <v>38869</v>
      </c>
      <c r="AF167" s="65">
        <f t="shared" si="355"/>
        <v>28.396226415094343</v>
      </c>
      <c r="AG167" s="66">
        <f t="shared" si="356"/>
        <v>40.444412696692609</v>
      </c>
      <c r="AH167" s="66">
        <f>AG167-((AG$20*AR$3)+(AR$4*AG167)+(AL167)+(20%*S167))</f>
        <v>29.622509542105878</v>
      </c>
      <c r="AI167" s="66">
        <f t="shared" si="357"/>
        <v>51.2226</v>
      </c>
      <c r="AJ167" s="66">
        <f t="shared" si="358"/>
        <v>8.795918367346939</v>
      </c>
      <c r="AK167" s="66">
        <f t="shared" si="359"/>
        <v>21.934121914953206</v>
      </c>
      <c r="AL167" s="24">
        <f t="shared" si="333"/>
        <v>3.262610740905072</v>
      </c>
      <c r="AM167" s="16"/>
      <c r="AN167" s="70">
        <f t="shared" si="319"/>
        <v>340.23037047955978</v>
      </c>
      <c r="AO167" s="70">
        <f t="shared" ref="AO167" si="362">AO166</f>
        <v>411.73277000000002</v>
      </c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86">
        <f t="shared" si="334"/>
        <v>2.6160260058429419E-2</v>
      </c>
      <c r="BE167" s="86">
        <f t="shared" si="335"/>
        <v>-2.1728229984957492E-3</v>
      </c>
      <c r="BF167" s="16"/>
      <c r="BG167" s="16"/>
      <c r="BH167" s="16"/>
      <c r="BI167" s="16"/>
    </row>
    <row r="168" spans="8:61" s="6" customFormat="1" ht="19" hidden="1" customHeight="1">
      <c r="H168" s="16"/>
      <c r="I168" s="16"/>
      <c r="J168" s="16"/>
      <c r="K168" s="16"/>
      <c r="L168" s="16"/>
      <c r="M168" s="16"/>
      <c r="N168" s="17">
        <v>38961</v>
      </c>
      <c r="O168" s="17"/>
      <c r="P168" s="16">
        <v>68.099999999999994</v>
      </c>
      <c r="Q168" s="60">
        <f t="shared" si="323"/>
        <v>0.51074999999999993</v>
      </c>
      <c r="R168" s="18">
        <f t="shared" si="347"/>
        <v>0.03</v>
      </c>
      <c r="S168" s="60">
        <f t="shared" si="330"/>
        <v>30.018329529069774</v>
      </c>
      <c r="T168" s="61">
        <f t="shared" si="325"/>
        <v>98.118329529069769</v>
      </c>
      <c r="U168" s="16">
        <v>1.6211375077604124</v>
      </c>
      <c r="V168" s="16">
        <v>86.8</v>
      </c>
      <c r="W168" s="62">
        <f t="shared" si="326"/>
        <v>138.07364999999999</v>
      </c>
      <c r="X168" s="16">
        <v>19311</v>
      </c>
      <c r="Y168" s="16">
        <f t="shared" si="331"/>
        <v>552294.6</v>
      </c>
      <c r="Z168" s="63">
        <f t="shared" si="336"/>
        <v>2228.479362685237</v>
      </c>
      <c r="AA168" s="82">
        <f t="shared" si="327"/>
        <v>6.5500000000000003E-2</v>
      </c>
      <c r="AB168" s="72">
        <f t="shared" ref="AB168" si="363">AB167</f>
        <v>7.5499999999999998E-2</v>
      </c>
      <c r="AC168" s="18"/>
      <c r="AD168" s="16"/>
      <c r="AE168" s="17">
        <v>38961</v>
      </c>
      <c r="AF168" s="65">
        <f t="shared" si="355"/>
        <v>28.776533018867923</v>
      </c>
      <c r="AG168" s="66">
        <f t="shared" si="356"/>
        <v>41.034407353675086</v>
      </c>
      <c r="AH168" s="66">
        <f>AG168-((AG$20*AR$3)+(AR$4*AG168)+(AL168)+(20%*S168))</f>
        <v>30.016785351893667</v>
      </c>
      <c r="AI168" s="66">
        <f t="shared" si="357"/>
        <v>55.229459999999996</v>
      </c>
      <c r="AJ168" s="66">
        <f t="shared" si="358"/>
        <v>8.8571428571428559</v>
      </c>
      <c r="AK168" s="66">
        <f t="shared" si="359"/>
        <v>22.28479362685237</v>
      </c>
      <c r="AL168" s="24">
        <f t="shared" si="333"/>
        <v>3.3325798018204611</v>
      </c>
      <c r="AM168" s="16"/>
      <c r="AN168" s="70">
        <f t="shared" si="319"/>
        <v>340.23037047955978</v>
      </c>
      <c r="AO168" s="70">
        <f t="shared" si="339"/>
        <v>411.73277000000002</v>
      </c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86">
        <f t="shared" si="334"/>
        <v>1.3310007014340153E-2</v>
      </c>
      <c r="BE168" s="86">
        <f t="shared" si="335"/>
        <v>7.8224455611390242E-2</v>
      </c>
      <c r="BF168" s="16"/>
      <c r="BG168" s="16"/>
      <c r="BH168" s="16"/>
      <c r="BI168" s="16"/>
    </row>
    <row r="169" spans="8:61" s="6" customFormat="1" ht="19" hidden="1" customHeight="1">
      <c r="H169" s="16"/>
      <c r="I169" s="16"/>
      <c r="J169" s="16"/>
      <c r="K169" s="16"/>
      <c r="L169" s="16"/>
      <c r="M169" s="16"/>
      <c r="N169" s="17">
        <v>39052</v>
      </c>
      <c r="O169" s="17"/>
      <c r="P169" s="16">
        <v>69.5</v>
      </c>
      <c r="Q169" s="60">
        <f t="shared" si="323"/>
        <v>0.52124999999999999</v>
      </c>
      <c r="R169" s="18">
        <f t="shared" si="347"/>
        <v>0.03</v>
      </c>
      <c r="S169" s="60">
        <f t="shared" si="330"/>
        <v>30.539579529069773</v>
      </c>
      <c r="T169" s="61">
        <f t="shared" si="325"/>
        <v>100.03957952906977</v>
      </c>
      <c r="U169" s="16">
        <v>1.6692852435194931</v>
      </c>
      <c r="V169" s="16">
        <v>86.7</v>
      </c>
      <c r="W169" s="62">
        <f t="shared" si="326"/>
        <v>146.61075</v>
      </c>
      <c r="X169" s="16">
        <v>20505</v>
      </c>
      <c r="Y169" s="16">
        <f t="shared" si="331"/>
        <v>586443</v>
      </c>
      <c r="Z169" s="63">
        <f t="shared" si="336"/>
        <v>2264.1071701750839</v>
      </c>
      <c r="AA169" s="82">
        <f t="shared" si="327"/>
        <v>6.5500000000000003E-2</v>
      </c>
      <c r="AB169" s="72">
        <f t="shared" si="340"/>
        <v>7.5499999999999998E-2</v>
      </c>
      <c r="AC169" s="18"/>
      <c r="AD169" s="16"/>
      <c r="AE169" s="17">
        <v>39052</v>
      </c>
      <c r="AF169" s="65">
        <f t="shared" si="355"/>
        <v>29.36812106918239</v>
      </c>
      <c r="AG169" s="66">
        <f t="shared" si="356"/>
        <v>41.837899988605145</v>
      </c>
      <c r="AH169" s="66">
        <f>AG169-((AG$20*AR$3)+(AR$4*AG169)+(AL169)+(20%*S169))</f>
        <v>30.612480796351345</v>
      </c>
      <c r="AI169" s="66">
        <f t="shared" si="357"/>
        <v>58.644300000000001</v>
      </c>
      <c r="AJ169" s="66">
        <f t="shared" si="358"/>
        <v>8.8469387755102034</v>
      </c>
      <c r="AK169" s="66">
        <f t="shared" si="359"/>
        <v>22.641071701750839</v>
      </c>
      <c r="AL169" s="24">
        <f t="shared" si="333"/>
        <v>3.4039872868956378</v>
      </c>
      <c r="AM169" s="16"/>
      <c r="AN169" s="70">
        <f t="shared" si="319"/>
        <v>340.23037047955978</v>
      </c>
      <c r="AO169" s="70">
        <f t="shared" si="339"/>
        <v>411.73277000000002</v>
      </c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86">
        <f t="shared" si="334"/>
        <v>1.984541107497706E-2</v>
      </c>
      <c r="BE169" s="86">
        <f t="shared" si="335"/>
        <v>6.1830045052043037E-2</v>
      </c>
      <c r="BF169" s="16"/>
      <c r="BG169" s="16"/>
      <c r="BH169" s="16"/>
      <c r="BI169" s="16"/>
    </row>
    <row r="170" spans="8:61" s="6" customFormat="1" ht="19" hidden="1" customHeight="1">
      <c r="H170" s="16"/>
      <c r="I170" s="16"/>
      <c r="J170" s="16"/>
      <c r="K170" s="16"/>
      <c r="L170" s="16"/>
      <c r="M170" s="16"/>
      <c r="N170" s="17">
        <v>39142</v>
      </c>
      <c r="O170" s="17"/>
      <c r="P170" s="16">
        <v>71</v>
      </c>
      <c r="Q170" s="60">
        <f t="shared" si="323"/>
        <v>0.53249999999999997</v>
      </c>
      <c r="R170" s="76">
        <v>0.03</v>
      </c>
      <c r="S170" s="60">
        <f t="shared" si="330"/>
        <v>31.072079529069772</v>
      </c>
      <c r="T170" s="61">
        <f t="shared" si="325"/>
        <v>102.07207952906977</v>
      </c>
      <c r="U170" s="16">
        <v>1.705123772955075</v>
      </c>
      <c r="V170" s="16">
        <v>86.9</v>
      </c>
      <c r="W170" s="62">
        <f t="shared" si="326"/>
        <v>156.99254999999999</v>
      </c>
      <c r="X170" s="16">
        <v>21957</v>
      </c>
      <c r="Y170" s="16">
        <f t="shared" si="331"/>
        <v>627970.19999999995</v>
      </c>
      <c r="Z170" s="63">
        <f t="shared" si="336"/>
        <v>2300.3045771361162</v>
      </c>
      <c r="AA170" s="82">
        <f t="shared" si="327"/>
        <v>6.5500000000000003E-2</v>
      </c>
      <c r="AB170" s="72">
        <f t="shared" si="340"/>
        <v>7.5499999999999998E-2</v>
      </c>
      <c r="AC170" s="18"/>
      <c r="AD170" s="16"/>
      <c r="AE170" s="17">
        <v>39142</v>
      </c>
      <c r="AF170" s="65">
        <f t="shared" si="355"/>
        <v>30.001965408805031</v>
      </c>
      <c r="AG170" s="66">
        <f t="shared" si="356"/>
        <v>42.687918872402335</v>
      </c>
      <c r="AH170" s="66">
        <f>AG170-((AG$20*AR$3)+(AR$4*AG170)+(AL170)+(20%*S170))</f>
        <v>31.249050270978842</v>
      </c>
      <c r="AI170" s="66">
        <f t="shared" si="357"/>
        <v>62.797019999999996</v>
      </c>
      <c r="AJ170" s="66">
        <f t="shared" si="358"/>
        <v>8.8673469387755102</v>
      </c>
      <c r="AK170" s="66">
        <f t="shared" si="359"/>
        <v>23.003045771361162</v>
      </c>
      <c r="AL170" s="24">
        <f t="shared" si="333"/>
        <v>3.4769359407134446</v>
      </c>
      <c r="AM170" s="16"/>
      <c r="AN170" s="73">
        <f t="shared" si="316"/>
        <v>370.23233588836479</v>
      </c>
      <c r="AO170" s="73">
        <f t="shared" ref="AO170" si="364">AO169+AI170</f>
        <v>474.52978999999999</v>
      </c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86">
        <f t="shared" si="334"/>
        <v>2.0794442595562845E-2</v>
      </c>
      <c r="BE170" s="86">
        <f t="shared" si="335"/>
        <v>7.0811997073884303E-2</v>
      </c>
      <c r="BF170" s="16"/>
      <c r="BG170" s="16"/>
      <c r="BH170" s="16"/>
      <c r="BI170" s="16"/>
    </row>
    <row r="171" spans="8:61" s="6" customFormat="1" ht="19" hidden="1" customHeight="1">
      <c r="H171" s="16"/>
      <c r="I171" s="16"/>
      <c r="J171" s="16"/>
      <c r="K171" s="16"/>
      <c r="L171" s="16"/>
      <c r="M171" s="16"/>
      <c r="N171" s="17">
        <v>39234</v>
      </c>
      <c r="O171" s="17"/>
      <c r="P171" s="16">
        <v>76</v>
      </c>
      <c r="Q171" s="60">
        <f t="shared" si="323"/>
        <v>0.56999999999999995</v>
      </c>
      <c r="R171" s="18">
        <f t="shared" si="347"/>
        <v>0.03</v>
      </c>
      <c r="S171" s="60">
        <f t="shared" si="330"/>
        <v>31.642079529069772</v>
      </c>
      <c r="T171" s="61">
        <f t="shared" si="325"/>
        <v>107.64207952906978</v>
      </c>
      <c r="U171" s="16">
        <v>1.8253585647960699</v>
      </c>
      <c r="V171" s="16">
        <v>87.9</v>
      </c>
      <c r="W171" s="62">
        <f t="shared" si="326"/>
        <v>166.83094999999997</v>
      </c>
      <c r="X171" s="16">
        <v>23333</v>
      </c>
      <c r="Y171" s="16">
        <f t="shared" si="331"/>
        <v>667323.79999999993</v>
      </c>
      <c r="Z171" s="63">
        <f t="shared" si="336"/>
        <v>2337.080690038264</v>
      </c>
      <c r="AA171" s="82">
        <f t="shared" si="327"/>
        <v>7.0500000000000007E-2</v>
      </c>
      <c r="AB171" s="72">
        <f t="shared" ref="AB171" si="365">AC171</f>
        <v>8.0500000000000002E-2</v>
      </c>
      <c r="AC171" s="64">
        <v>8.0500000000000002E-2</v>
      </c>
      <c r="AD171" s="16"/>
      <c r="AE171" s="17">
        <v>39234</v>
      </c>
      <c r="AF171" s="65">
        <f t="shared" si="355"/>
        <v>32.114779874213838</v>
      </c>
      <c r="AG171" s="66">
        <f t="shared" si="356"/>
        <v>45.017367916805945</v>
      </c>
      <c r="AH171" s="66">
        <f>AG171-((AG$20*AR$3)+(AR$4*AG171)+(AL171)+(20%*S171))</f>
        <v>33.293235470646401</v>
      </c>
      <c r="AI171" s="66">
        <f t="shared" si="357"/>
        <v>66.732379999999992</v>
      </c>
      <c r="AJ171" s="66">
        <f t="shared" si="358"/>
        <v>8.9693877551020407</v>
      </c>
      <c r="AK171" s="66">
        <f t="shared" si="359"/>
        <v>23.37080690038264</v>
      </c>
      <c r="AL171" s="24">
        <f t="shared" si="333"/>
        <v>3.5550218236733504</v>
      </c>
      <c r="AM171" s="16"/>
      <c r="AN171" s="70">
        <f t="shared" si="319"/>
        <v>370.23233588836479</v>
      </c>
      <c r="AO171" s="70">
        <f t="shared" ref="AO171" si="366">AO170</f>
        <v>474.52978999999999</v>
      </c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86">
        <f t="shared" si="334"/>
        <v>6.5415914465919212E-2</v>
      </c>
      <c r="BE171" s="86">
        <f t="shared" si="335"/>
        <v>6.2667941886414225E-2</v>
      </c>
      <c r="BF171" s="16"/>
      <c r="BG171" s="16"/>
      <c r="BH171" s="16"/>
      <c r="BI171" s="16"/>
    </row>
    <row r="172" spans="8:61" s="6" customFormat="1" ht="19" hidden="1" customHeight="1">
      <c r="H172" s="16"/>
      <c r="I172" s="16"/>
      <c r="J172" s="16"/>
      <c r="K172" s="16"/>
      <c r="L172" s="16"/>
      <c r="M172" s="16"/>
      <c r="N172" s="17">
        <v>39326</v>
      </c>
      <c r="O172" s="17"/>
      <c r="P172" s="16">
        <v>79.5</v>
      </c>
      <c r="Q172" s="60">
        <f t="shared" si="323"/>
        <v>0.59624999999999995</v>
      </c>
      <c r="R172" s="18">
        <f t="shared" si="347"/>
        <v>0.03</v>
      </c>
      <c r="S172" s="60">
        <f t="shared" si="330"/>
        <v>32.238329529069773</v>
      </c>
      <c r="T172" s="61">
        <f t="shared" si="325"/>
        <v>111.73832952906977</v>
      </c>
      <c r="U172" s="16">
        <v>1.9188592643578879</v>
      </c>
      <c r="V172" s="16">
        <v>88.6</v>
      </c>
      <c r="W172" s="62">
        <f t="shared" si="326"/>
        <v>175.97579999999999</v>
      </c>
      <c r="X172" s="16">
        <v>24612</v>
      </c>
      <c r="Y172" s="16">
        <f t="shared" si="331"/>
        <v>703903.2</v>
      </c>
      <c r="Z172" s="63">
        <f t="shared" si="336"/>
        <v>2377.2254715971312</v>
      </c>
      <c r="AA172" s="82">
        <f t="shared" si="327"/>
        <v>7.0500000000000007E-2</v>
      </c>
      <c r="AB172" s="72">
        <f t="shared" ref="AB172" si="367">AB171</f>
        <v>8.0500000000000002E-2</v>
      </c>
      <c r="AC172" s="18"/>
      <c r="AD172" s="16"/>
      <c r="AE172" s="17">
        <v>39326</v>
      </c>
      <c r="AF172" s="65">
        <f t="shared" si="355"/>
        <v>33.59375</v>
      </c>
      <c r="AG172" s="66">
        <f t="shared" si="356"/>
        <v>46.730474855430415</v>
      </c>
      <c r="AH172" s="66">
        <f>AG172-((AG$20*AR$3)+(AR$4*AG172)+(AL172)+(20%*S172))</f>
        <v>34.736886188366519</v>
      </c>
      <c r="AI172" s="66">
        <f t="shared" si="357"/>
        <v>70.390319999999988</v>
      </c>
      <c r="AJ172" s="66">
        <f t="shared" si="358"/>
        <v>9.0408163265306118</v>
      </c>
      <c r="AK172" s="66">
        <f t="shared" si="359"/>
        <v>23.772254715971311</v>
      </c>
      <c r="AL172" s="24">
        <f t="shared" si="333"/>
        <v>3.6367037670327256</v>
      </c>
      <c r="AM172" s="16"/>
      <c r="AN172" s="70">
        <f t="shared" si="319"/>
        <v>370.23233588836479</v>
      </c>
      <c r="AO172" s="70">
        <f t="shared" si="339"/>
        <v>474.52978999999999</v>
      </c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86">
        <f t="shared" si="334"/>
        <v>4.3361682855754369E-2</v>
      </c>
      <c r="BE172" s="86">
        <f t="shared" si="335"/>
        <v>5.4815068786696841E-2</v>
      </c>
      <c r="BF172" s="16"/>
      <c r="BG172" s="16"/>
      <c r="BH172" s="16"/>
      <c r="BI172" s="16"/>
    </row>
    <row r="173" spans="8:61" s="6" customFormat="1" ht="19" hidden="1" customHeight="1">
      <c r="H173" s="16"/>
      <c r="I173" s="16"/>
      <c r="J173" s="16"/>
      <c r="K173" s="16"/>
      <c r="L173" s="16"/>
      <c r="M173" s="16"/>
      <c r="N173" s="17">
        <v>39417</v>
      </c>
      <c r="O173" s="17"/>
      <c r="P173" s="16">
        <v>84.7</v>
      </c>
      <c r="Q173" s="60">
        <f t="shared" si="323"/>
        <v>0.63524999999999998</v>
      </c>
      <c r="R173" s="18">
        <f t="shared" si="347"/>
        <v>0.03</v>
      </c>
      <c r="S173" s="60">
        <f t="shared" si="330"/>
        <v>32.873579529069772</v>
      </c>
      <c r="T173" s="61">
        <f t="shared" si="325"/>
        <v>117.57357952906978</v>
      </c>
      <c r="U173" s="16">
        <v>2.0566737747545911</v>
      </c>
      <c r="V173" s="16">
        <v>89.5</v>
      </c>
      <c r="W173" s="62">
        <f t="shared" si="326"/>
        <v>172.9299</v>
      </c>
      <c r="X173" s="16">
        <v>24186</v>
      </c>
      <c r="Y173" s="16">
        <f t="shared" si="331"/>
        <v>691719.6</v>
      </c>
      <c r="Z173" s="63">
        <f t="shared" si="336"/>
        <v>2418.0598328924957</v>
      </c>
      <c r="AA173" s="82">
        <f t="shared" si="327"/>
        <v>7.0500000000000007E-2</v>
      </c>
      <c r="AB173" s="72">
        <f t="shared" si="340"/>
        <v>8.0500000000000002E-2</v>
      </c>
      <c r="AC173" s="18"/>
      <c r="AD173" s="16"/>
      <c r="AE173" s="17">
        <v>39417</v>
      </c>
      <c r="AF173" s="65">
        <f t="shared" si="355"/>
        <v>35.791077044025158</v>
      </c>
      <c r="AG173" s="66">
        <f t="shared" si="356"/>
        <v>49.170855023537449</v>
      </c>
      <c r="AH173" s="66">
        <f>AG173-((AG$20*AR$3)+(AR$4*AG173)+(AL173)+(20%*S173))</f>
        <v>36.865576488082112</v>
      </c>
      <c r="AI173" s="66">
        <f t="shared" si="357"/>
        <v>69.171959999999999</v>
      </c>
      <c r="AJ173" s="66">
        <f t="shared" si="358"/>
        <v>9.1326530612244898</v>
      </c>
      <c r="AK173" s="66">
        <f t="shared" si="359"/>
        <v>24.180598328924958</v>
      </c>
      <c r="AL173" s="24">
        <f t="shared" si="333"/>
        <v>3.7237284286998835</v>
      </c>
      <c r="AM173" s="16"/>
      <c r="AN173" s="70">
        <f t="shared" si="319"/>
        <v>370.23233588836479</v>
      </c>
      <c r="AO173" s="70">
        <f t="shared" si="339"/>
        <v>474.52978999999999</v>
      </c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86">
        <f t="shared" si="334"/>
        <v>6.128040055669981E-2</v>
      </c>
      <c r="BE173" s="86">
        <f t="shared" si="335"/>
        <v>-1.7308629936616193E-2</v>
      </c>
      <c r="BF173" s="16"/>
      <c r="BG173" s="16"/>
      <c r="BH173" s="16"/>
      <c r="BI173" s="16"/>
    </row>
    <row r="174" spans="8:61" s="6" customFormat="1" ht="19" hidden="1" customHeight="1">
      <c r="H174" s="16"/>
      <c r="I174" s="16"/>
      <c r="J174" s="16"/>
      <c r="K174" s="16"/>
      <c r="L174" s="16"/>
      <c r="M174" s="16"/>
      <c r="N174" s="17">
        <v>39508</v>
      </c>
      <c r="O174" s="17"/>
      <c r="P174" s="16">
        <v>85.7</v>
      </c>
      <c r="Q174" s="60">
        <f t="shared" si="323"/>
        <v>0.64275000000000004</v>
      </c>
      <c r="R174" s="76">
        <v>0.03</v>
      </c>
      <c r="S174" s="60">
        <f t="shared" si="330"/>
        <v>33.516329529069772</v>
      </c>
      <c r="T174" s="61">
        <f t="shared" si="325"/>
        <v>119.21632952906978</v>
      </c>
      <c r="U174" s="16">
        <v>2.1006489954202321</v>
      </c>
      <c r="V174" s="16">
        <v>90.7</v>
      </c>
      <c r="W174" s="62">
        <f t="shared" si="326"/>
        <v>147.54739999999998</v>
      </c>
      <c r="X174" s="16">
        <v>20636</v>
      </c>
      <c r="Y174" s="16">
        <f t="shared" si="331"/>
        <v>590189.6</v>
      </c>
      <c r="Z174" s="63">
        <f t="shared" si="336"/>
        <v>2459.5956190557672</v>
      </c>
      <c r="AA174" s="82">
        <f t="shared" si="327"/>
        <v>7.0500000000000007E-2</v>
      </c>
      <c r="AB174" s="72">
        <f t="shared" si="340"/>
        <v>8.0500000000000002E-2</v>
      </c>
      <c r="AC174" s="18"/>
      <c r="AD174" s="16"/>
      <c r="AE174" s="17">
        <v>39508</v>
      </c>
      <c r="AF174" s="65">
        <f t="shared" si="355"/>
        <v>36.213639937106919</v>
      </c>
      <c r="AG174" s="66">
        <f t="shared" si="356"/>
        <v>49.857875206247328</v>
      </c>
      <c r="AH174" s="66">
        <f>AG174-((AG$20*AR$3)+(AR$4*AG174)+(AL174)+(20%*S174))</f>
        <v>37.308513755988017</v>
      </c>
      <c r="AI174" s="66">
        <f t="shared" si="357"/>
        <v>59.01896</v>
      </c>
      <c r="AJ174" s="66">
        <f t="shared" si="358"/>
        <v>9.2551020408163254</v>
      </c>
      <c r="AK174" s="66">
        <f t="shared" si="359"/>
        <v>24.595956190557672</v>
      </c>
      <c r="AL174" s="24">
        <f t="shared" si="333"/>
        <v>3.8117805361954615</v>
      </c>
      <c r="AM174" s="16"/>
      <c r="AN174" s="73">
        <f t="shared" si="316"/>
        <v>406.44597582547169</v>
      </c>
      <c r="AO174" s="73">
        <f t="shared" ref="AO174" si="368">AO173+AI174</f>
        <v>533.54875000000004</v>
      </c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86">
        <f t="shared" si="334"/>
        <v>1.2014928562126048E-2</v>
      </c>
      <c r="BE174" s="86">
        <f t="shared" si="335"/>
        <v>-0.14677912842140084</v>
      </c>
      <c r="BF174" s="16"/>
      <c r="BG174" s="16"/>
      <c r="BH174" s="16"/>
      <c r="BI174" s="16"/>
    </row>
    <row r="175" spans="8:61" s="6" customFormat="1" ht="19" hidden="1" customHeight="1">
      <c r="H175" s="16"/>
      <c r="I175" s="16"/>
      <c r="J175" s="16"/>
      <c r="K175" s="16"/>
      <c r="L175" s="16"/>
      <c r="M175" s="16"/>
      <c r="N175" s="17">
        <v>39600</v>
      </c>
      <c r="O175" s="17"/>
      <c r="P175" s="16">
        <v>85.5</v>
      </c>
      <c r="Q175" s="60">
        <f t="shared" si="323"/>
        <v>0.64124999999999999</v>
      </c>
      <c r="R175" s="18">
        <f t="shared" si="347"/>
        <v>0.03</v>
      </c>
      <c r="S175" s="60">
        <f t="shared" si="330"/>
        <v>34.157579529069771</v>
      </c>
      <c r="T175" s="61">
        <f t="shared" si="325"/>
        <v>119.65757952906978</v>
      </c>
      <c r="U175" s="16">
        <v>2.1115045977632017</v>
      </c>
      <c r="V175" s="16">
        <v>91.8</v>
      </c>
      <c r="W175" s="62">
        <f t="shared" si="326"/>
        <v>146.61790000000002</v>
      </c>
      <c r="X175" s="16">
        <v>20506</v>
      </c>
      <c r="Y175" s="16">
        <f t="shared" si="331"/>
        <v>586471.60000000009</v>
      </c>
      <c r="Z175" s="63">
        <f t="shared" si="336"/>
        <v>2501.8448786859617</v>
      </c>
      <c r="AA175" s="82">
        <f t="shared" si="327"/>
        <v>8.4500000000000006E-2</v>
      </c>
      <c r="AB175" s="72">
        <f t="shared" ref="AB175" si="369">AC175</f>
        <v>9.4500000000000001E-2</v>
      </c>
      <c r="AC175" s="64">
        <v>9.4500000000000001E-2</v>
      </c>
      <c r="AD175" s="16"/>
      <c r="AE175" s="17">
        <v>39600</v>
      </c>
      <c r="AF175" s="65">
        <f t="shared" si="355"/>
        <v>36.129127358490564</v>
      </c>
      <c r="AG175" s="66">
        <f t="shared" si="356"/>
        <v>50.042411901192231</v>
      </c>
      <c r="AH175" s="66">
        <f>AG175-((AG$20*AR$3)+(AR$4*AG175)+(AL175)+(20%*S175))</f>
        <v>37.269572364805228</v>
      </c>
      <c r="AI175" s="66">
        <f t="shared" si="357"/>
        <v>58.647160000000007</v>
      </c>
      <c r="AJ175" s="66">
        <f t="shared" si="358"/>
        <v>9.3673469387755084</v>
      </c>
      <c r="AK175" s="66">
        <f t="shared" si="359"/>
        <v>25.018448786859619</v>
      </c>
      <c r="AL175" s="24">
        <f t="shared" si="333"/>
        <v>3.8996271545253554</v>
      </c>
      <c r="AM175" s="16"/>
      <c r="AN175" s="70">
        <f t="shared" si="319"/>
        <v>406.44597582547169</v>
      </c>
      <c r="AO175" s="70">
        <f t="shared" ref="AO175" si="370">AO174</f>
        <v>533.54875000000004</v>
      </c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86">
        <f t="shared" si="334"/>
        <v>-1.0437668848852777E-3</v>
      </c>
      <c r="BE175" s="86">
        <f t="shared" si="335"/>
        <v>-6.2996704787748881E-3</v>
      </c>
      <c r="BF175" s="16"/>
      <c r="BG175" s="16"/>
      <c r="BH175" s="16"/>
      <c r="BI175" s="16"/>
    </row>
    <row r="176" spans="8:61" s="6" customFormat="1" ht="19" hidden="1" customHeight="1">
      <c r="H176" s="16"/>
      <c r="I176" s="16"/>
      <c r="J176" s="16"/>
      <c r="K176" s="16"/>
      <c r="L176" s="16"/>
      <c r="M176" s="16"/>
      <c r="N176" s="17">
        <v>39692</v>
      </c>
      <c r="O176" s="17"/>
      <c r="P176" s="16">
        <v>83</v>
      </c>
      <c r="Q176" s="60">
        <f t="shared" si="323"/>
        <v>0.62249999999999994</v>
      </c>
      <c r="R176" s="18">
        <f t="shared" si="347"/>
        <v>0.03</v>
      </c>
      <c r="S176" s="60">
        <f t="shared" si="330"/>
        <v>34.780079529069774</v>
      </c>
      <c r="T176" s="61">
        <f t="shared" si="325"/>
        <v>117.78007952906978</v>
      </c>
      <c r="U176" s="16">
        <v>2.0662182722847553</v>
      </c>
      <c r="V176" s="16">
        <v>92.9</v>
      </c>
      <c r="W176" s="62">
        <f t="shared" si="326"/>
        <v>129.18619999999999</v>
      </c>
      <c r="X176" s="16">
        <v>18068</v>
      </c>
      <c r="Y176" s="16">
        <f t="shared" si="331"/>
        <v>516744.8</v>
      </c>
      <c r="Z176" s="63">
        <f t="shared" si="336"/>
        <v>2553.0996602355312</v>
      </c>
      <c r="AA176" s="82">
        <f t="shared" si="327"/>
        <v>8.4500000000000006E-2</v>
      </c>
      <c r="AB176" s="72">
        <f t="shared" ref="AB176" si="371">AB175</f>
        <v>9.4500000000000001E-2</v>
      </c>
      <c r="AC176" s="18"/>
      <c r="AD176" s="16"/>
      <c r="AE176" s="17">
        <v>39692</v>
      </c>
      <c r="AF176" s="65">
        <f t="shared" si="355"/>
        <v>35.072720125786162</v>
      </c>
      <c r="AG176" s="66">
        <f t="shared" si="356"/>
        <v>49.257216105704302</v>
      </c>
      <c r="AH176" s="66">
        <f>AG176-((AG$20*AR$3)+(AR$4*AG176)+(AL176)+(20%*S176))</f>
        <v>36.306006397377971</v>
      </c>
      <c r="AI176" s="66">
        <f t="shared" si="357"/>
        <v>51.674479999999996</v>
      </c>
      <c r="AJ176" s="66">
        <f t="shared" si="358"/>
        <v>9.4795918367346932</v>
      </c>
      <c r="AK176" s="66">
        <f t="shared" si="359"/>
        <v>25.530996602355312</v>
      </c>
      <c r="AL176" s="24">
        <f t="shared" si="333"/>
        <v>3.9849051582841999</v>
      </c>
      <c r="AM176" s="16"/>
      <c r="AN176" s="70">
        <f t="shared" si="319"/>
        <v>406.44597582547169</v>
      </c>
      <c r="AO176" s="70">
        <f t="shared" si="339"/>
        <v>533.54875000000004</v>
      </c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86">
        <f t="shared" si="334"/>
        <v>-2.5853958236912389E-2</v>
      </c>
      <c r="BE176" s="86">
        <f t="shared" si="335"/>
        <v>-0.11889203160050732</v>
      </c>
      <c r="BF176" s="16"/>
      <c r="BG176" s="16"/>
      <c r="BH176" s="16"/>
      <c r="BI176" s="16"/>
    </row>
    <row r="177" spans="8:61" s="6" customFormat="1" ht="19" hidden="1" customHeight="1">
      <c r="H177" s="16"/>
      <c r="I177" s="16"/>
      <c r="J177" s="16"/>
      <c r="K177" s="16"/>
      <c r="L177" s="16"/>
      <c r="M177" s="16"/>
      <c r="N177" s="17">
        <v>39783</v>
      </c>
      <c r="O177" s="17"/>
      <c r="P177" s="16">
        <v>82.3</v>
      </c>
      <c r="Q177" s="60">
        <f t="shared" si="323"/>
        <v>0.61724999999999997</v>
      </c>
      <c r="R177" s="18">
        <f t="shared" si="347"/>
        <v>0.03</v>
      </c>
      <c r="S177" s="60">
        <f t="shared" si="330"/>
        <v>35.397329529069772</v>
      </c>
      <c r="T177" s="61">
        <f t="shared" si="325"/>
        <v>117.69732952906978</v>
      </c>
      <c r="U177" s="16">
        <v>2.0629761294211857</v>
      </c>
      <c r="V177" s="16">
        <v>92.3</v>
      </c>
      <c r="W177" s="62">
        <f t="shared" si="326"/>
        <v>103.0887</v>
      </c>
      <c r="X177" s="16">
        <v>14418</v>
      </c>
      <c r="Y177" s="16">
        <f t="shared" si="331"/>
        <v>412354.8</v>
      </c>
      <c r="Z177" s="63">
        <f t="shared" si="336"/>
        <v>2605.4044879546595</v>
      </c>
      <c r="AA177" s="82">
        <f t="shared" si="327"/>
        <v>8.4500000000000006E-2</v>
      </c>
      <c r="AB177" s="72">
        <f t="shared" si="340"/>
        <v>9.4500000000000001E-2</v>
      </c>
      <c r="AC177" s="18"/>
      <c r="AD177" s="77" t="s">
        <v>20</v>
      </c>
      <c r="AE177" s="17">
        <v>39783</v>
      </c>
      <c r="AF177" s="65">
        <f t="shared" si="355"/>
        <v>34.776926100628934</v>
      </c>
      <c r="AG177" s="66">
        <f t="shared" si="356"/>
        <v>49.222608940816613</v>
      </c>
      <c r="AH177" s="66">
        <f>AG177-((AG$20*AR$3)+(AR$4*AG177)+(AL177)+(20%*S177))</f>
        <v>36.064774727406842</v>
      </c>
      <c r="AI177" s="66">
        <f t="shared" si="357"/>
        <v>41.235479999999995</v>
      </c>
      <c r="AJ177" s="66">
        <f t="shared" si="358"/>
        <v>9.4183673469387745</v>
      </c>
      <c r="AK177" s="66">
        <f t="shared" si="359"/>
        <v>26.054044879546595</v>
      </c>
      <c r="AL177" s="24">
        <f t="shared" si="333"/>
        <v>4.0694639499631506</v>
      </c>
      <c r="AM177" s="78"/>
      <c r="AN177" s="70">
        <f t="shared" si="319"/>
        <v>406.44597582547169</v>
      </c>
      <c r="AO177" s="70">
        <f t="shared" si="339"/>
        <v>533.54875000000004</v>
      </c>
      <c r="AP177" s="78"/>
      <c r="AQ177" s="78"/>
      <c r="AR177" s="78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86">
        <f t="shared" si="334"/>
        <v>-6.6444011310632378E-3</v>
      </c>
      <c r="BE177" s="86">
        <f t="shared" si="335"/>
        <v>-0.20201461146778832</v>
      </c>
      <c r="BF177" s="16"/>
      <c r="BG177" s="16"/>
      <c r="BH177" s="16"/>
      <c r="BI177" s="16"/>
    </row>
    <row r="178" spans="8:61" s="6" customFormat="1" ht="19" hidden="1" customHeight="1">
      <c r="H178" s="16"/>
      <c r="I178" s="16"/>
      <c r="J178" s="16"/>
      <c r="K178" s="16"/>
      <c r="L178" s="16"/>
      <c r="M178" s="16"/>
      <c r="N178" s="17">
        <v>39873</v>
      </c>
      <c r="O178" s="17"/>
      <c r="P178" s="16">
        <v>82.5</v>
      </c>
      <c r="Q178" s="60">
        <f t="shared" si="323"/>
        <v>0.61875000000000002</v>
      </c>
      <c r="R178" s="76">
        <v>0.03</v>
      </c>
      <c r="S178" s="60">
        <f t="shared" si="330"/>
        <v>36.016079529069771</v>
      </c>
      <c r="T178" s="61">
        <f t="shared" si="325"/>
        <v>118.51607952906977</v>
      </c>
      <c r="U178" s="16">
        <v>2.0697158339406703</v>
      </c>
      <c r="V178" s="16">
        <v>92.6</v>
      </c>
      <c r="W178" s="62">
        <f t="shared" si="326"/>
        <v>101.37269999999999</v>
      </c>
      <c r="X178" s="16">
        <v>14178</v>
      </c>
      <c r="Y178" s="16">
        <f t="shared" si="331"/>
        <v>405490.8</v>
      </c>
      <c r="Z178" s="63">
        <f t="shared" si="336"/>
        <v>2658.7808739232905</v>
      </c>
      <c r="AA178" s="82">
        <f t="shared" si="327"/>
        <v>8.4500000000000006E-2</v>
      </c>
      <c r="AB178" s="72">
        <f t="shared" si="340"/>
        <v>9.4500000000000001E-2</v>
      </c>
      <c r="AC178" s="18"/>
      <c r="AD178" s="79" t="s">
        <v>21</v>
      </c>
      <c r="AE178" s="17">
        <v>39873</v>
      </c>
      <c r="AF178" s="65">
        <f t="shared" si="355"/>
        <v>34.861438679245282</v>
      </c>
      <c r="AG178" s="66">
        <f t="shared" si="356"/>
        <v>49.565021221805026</v>
      </c>
      <c r="AH178" s="66">
        <f>AG178-((AG$20*AR$3)+(AR$4*AG178)+(AL178)+(20%*S178))</f>
        <v>36.184976236311087</v>
      </c>
      <c r="AI178" s="66">
        <f t="shared" si="357"/>
        <v>40.549079999999996</v>
      </c>
      <c r="AJ178" s="66">
        <f t="shared" si="358"/>
        <v>9.4489795918367339</v>
      </c>
      <c r="AK178" s="66">
        <f t="shared" si="359"/>
        <v>26.587808739232905</v>
      </c>
      <c r="AL178" s="24">
        <f t="shared" si="333"/>
        <v>4.1542282308077851</v>
      </c>
      <c r="AM178" s="78"/>
      <c r="AN178" s="73">
        <f t="shared" si="316"/>
        <v>441.30741450471697</v>
      </c>
      <c r="AO178" s="73">
        <f t="shared" ref="AO178" si="372">AO177+AI178</f>
        <v>574.09783000000004</v>
      </c>
      <c r="AP178" s="78"/>
      <c r="AQ178" s="78"/>
      <c r="AR178" s="78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86">
        <f t="shared" si="334"/>
        <v>3.3329338617191784E-3</v>
      </c>
      <c r="BE178" s="86">
        <f t="shared" si="335"/>
        <v>-1.6645859342488523E-2</v>
      </c>
      <c r="BF178" s="16"/>
      <c r="BG178" s="16"/>
      <c r="BH178" s="16"/>
      <c r="BI178" s="16"/>
    </row>
    <row r="179" spans="8:61" s="6" customFormat="1" ht="19" hidden="1" customHeight="1">
      <c r="H179" s="16"/>
      <c r="I179" s="16"/>
      <c r="J179" s="16"/>
      <c r="K179" s="16"/>
      <c r="L179" s="16"/>
      <c r="M179" s="16"/>
      <c r="N179" s="17">
        <v>39965</v>
      </c>
      <c r="O179" s="17"/>
      <c r="P179" s="16">
        <v>86.9</v>
      </c>
      <c r="Q179" s="60">
        <f t="shared" si="323"/>
        <v>0.65175000000000005</v>
      </c>
      <c r="R179" s="18">
        <f t="shared" si="347"/>
        <v>0.03</v>
      </c>
      <c r="S179" s="60">
        <f t="shared" si="330"/>
        <v>36.66782952906977</v>
      </c>
      <c r="T179" s="61">
        <f t="shared" si="325"/>
        <v>123.56782952906977</v>
      </c>
      <c r="U179" s="16">
        <v>2.1856241621003951</v>
      </c>
      <c r="V179" s="16">
        <v>92.9</v>
      </c>
      <c r="W179" s="62">
        <f t="shared" si="326"/>
        <v>114.14975</v>
      </c>
      <c r="X179" s="16">
        <v>15965</v>
      </c>
      <c r="Y179" s="16">
        <f t="shared" si="331"/>
        <v>456599</v>
      </c>
      <c r="Z179" s="63">
        <f t="shared" si="336"/>
        <v>2713.2507709349261</v>
      </c>
      <c r="AA179" s="82">
        <f t="shared" si="327"/>
        <v>4.8000000000000001E-2</v>
      </c>
      <c r="AB179" s="72">
        <f t="shared" ref="AB179" si="373">AC179</f>
        <v>5.8000000000000003E-2</v>
      </c>
      <c r="AC179" s="64">
        <v>5.8000000000000003E-2</v>
      </c>
      <c r="AD179" s="79" t="s">
        <v>22</v>
      </c>
      <c r="AE179" s="17">
        <v>39965</v>
      </c>
      <c r="AF179" s="65">
        <f t="shared" si="355"/>
        <v>36.720715408805034</v>
      </c>
      <c r="AG179" s="66">
        <f t="shared" si="356"/>
        <v>51.67773113384559</v>
      </c>
      <c r="AH179" s="66">
        <f>AG179-((AG$20*AR$3)+(AR$4*AG179)+(AL179)+(20%*S179))</f>
        <v>37.99354270938035</v>
      </c>
      <c r="AI179" s="66">
        <f t="shared" si="357"/>
        <v>45.6599</v>
      </c>
      <c r="AJ179" s="66">
        <f t="shared" si="358"/>
        <v>9.4795918367346932</v>
      </c>
      <c r="AK179" s="66">
        <f t="shared" si="359"/>
        <v>27.132507709349262</v>
      </c>
      <c r="AL179" s="24">
        <f t="shared" si="333"/>
        <v>4.2435132732974665</v>
      </c>
      <c r="AM179" s="78"/>
      <c r="AN179" s="70">
        <f t="shared" si="319"/>
        <v>441.30741450471697</v>
      </c>
      <c r="AO179" s="70">
        <f t="shared" ref="AO179" si="374">AO178</f>
        <v>574.09783000000004</v>
      </c>
      <c r="AP179" s="78"/>
      <c r="AQ179" s="78"/>
      <c r="AR179" s="78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86">
        <f t="shared" si="334"/>
        <v>4.9981143037324705E-2</v>
      </c>
      <c r="BE179" s="86">
        <f t="shared" si="335"/>
        <v>0.12604034419523225</v>
      </c>
      <c r="BF179" s="16"/>
      <c r="BG179" s="16"/>
      <c r="BH179" s="16"/>
      <c r="BI179" s="16"/>
    </row>
    <row r="180" spans="8:61" s="6" customFormat="1" ht="19" hidden="1" customHeight="1">
      <c r="H180" s="16"/>
      <c r="I180" s="16"/>
      <c r="J180" s="16"/>
      <c r="K180" s="16"/>
      <c r="L180" s="16"/>
      <c r="M180" s="16"/>
      <c r="N180" s="17">
        <v>40057</v>
      </c>
      <c r="O180" s="17"/>
      <c r="P180" s="16">
        <v>92.5</v>
      </c>
      <c r="Q180" s="60">
        <f t="shared" si="323"/>
        <v>0.69374999999999998</v>
      </c>
      <c r="R180" s="18">
        <f t="shared" si="347"/>
        <v>0.03</v>
      </c>
      <c r="S180" s="60">
        <f t="shared" si="330"/>
        <v>37.361579529069772</v>
      </c>
      <c r="T180" s="61">
        <f t="shared" si="325"/>
        <v>129.86157952906979</v>
      </c>
      <c r="U180" s="16">
        <v>2.3183655581648535</v>
      </c>
      <c r="V180" s="16">
        <v>93.4</v>
      </c>
      <c r="W180" s="62">
        <f t="shared" si="326"/>
        <v>138.74574999999999</v>
      </c>
      <c r="X180" s="16">
        <v>19405</v>
      </c>
      <c r="Y180" s="16">
        <f t="shared" si="331"/>
        <v>554983</v>
      </c>
      <c r="Z180" s="63">
        <f t="shared" si="336"/>
        <v>2745.2396050208872</v>
      </c>
      <c r="AA180" s="82">
        <f t="shared" si="327"/>
        <v>4.8000000000000001E-2</v>
      </c>
      <c r="AB180" s="72">
        <f t="shared" ref="AB180" si="375">AB179</f>
        <v>5.8000000000000003E-2</v>
      </c>
      <c r="AC180" s="18"/>
      <c r="AD180" s="79" t="s">
        <v>23</v>
      </c>
      <c r="AE180" s="17">
        <v>40057</v>
      </c>
      <c r="AF180" s="65">
        <f t="shared" si="355"/>
        <v>39.087067610062896</v>
      </c>
      <c r="AG180" s="66">
        <f t="shared" si="356"/>
        <v>54.309862179306137</v>
      </c>
      <c r="AH180" s="66">
        <f>AG180-((AG$20*AR$3)+(AR$4*AG180)+(AL180)+(20%*S180))</f>
        <v>40.286599773893641</v>
      </c>
      <c r="AI180" s="66">
        <f t="shared" si="357"/>
        <v>55.4983</v>
      </c>
      <c r="AJ180" s="66">
        <f t="shared" si="358"/>
        <v>9.5306122448979593</v>
      </c>
      <c r="AK180" s="66">
        <f t="shared" si="359"/>
        <v>27.452396050208872</v>
      </c>
      <c r="AL180" s="24">
        <f t="shared" si="333"/>
        <v>4.3385520124262991</v>
      </c>
      <c r="AM180" s="78"/>
      <c r="AN180" s="70">
        <f t="shared" si="319"/>
        <v>441.30741450471697</v>
      </c>
      <c r="AO180" s="70">
        <f t="shared" si="339"/>
        <v>574.09783000000004</v>
      </c>
      <c r="AP180" s="78"/>
      <c r="AQ180" s="78"/>
      <c r="AR180" s="78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86">
        <f t="shared" si="334"/>
        <v>6.0353862814355397E-2</v>
      </c>
      <c r="BE180" s="86">
        <f t="shared" si="335"/>
        <v>0.21547134356404629</v>
      </c>
      <c r="BF180" s="16"/>
      <c r="BG180" s="16"/>
      <c r="BH180" s="16"/>
      <c r="BI180" s="16"/>
    </row>
    <row r="181" spans="8:61" s="6" customFormat="1" ht="19" hidden="1" customHeight="1">
      <c r="H181" s="16"/>
      <c r="I181" s="16"/>
      <c r="J181" s="16"/>
      <c r="K181" s="16"/>
      <c r="L181" s="16"/>
      <c r="M181" s="16"/>
      <c r="N181" s="17">
        <v>40148</v>
      </c>
      <c r="O181" s="17"/>
      <c r="P181" s="16">
        <v>98.6</v>
      </c>
      <c r="Q181" s="60">
        <f t="shared" si="323"/>
        <v>0.73949999999999994</v>
      </c>
      <c r="R181" s="18">
        <f t="shared" si="347"/>
        <v>0.03</v>
      </c>
      <c r="S181" s="60">
        <f t="shared" si="330"/>
        <v>38.101079529069771</v>
      </c>
      <c r="T181" s="61">
        <f t="shared" si="325"/>
        <v>136.70107952906977</v>
      </c>
      <c r="U181" s="16">
        <v>2.4619124265572561</v>
      </c>
      <c r="V181" s="16">
        <v>94</v>
      </c>
      <c r="W181" s="62">
        <f t="shared" si="326"/>
        <v>143.89375000000001</v>
      </c>
      <c r="X181" s="16">
        <v>20125</v>
      </c>
      <c r="Y181" s="16">
        <f t="shared" si="331"/>
        <v>575575</v>
      </c>
      <c r="Z181" s="63">
        <f t="shared" si="336"/>
        <v>2777.6055828331637</v>
      </c>
      <c r="AA181" s="82">
        <f t="shared" si="327"/>
        <v>4.8000000000000001E-2</v>
      </c>
      <c r="AB181" s="72">
        <f t="shared" si="340"/>
        <v>5.8000000000000003E-2</v>
      </c>
      <c r="AC181" s="18"/>
      <c r="AD181" s="79" t="s">
        <v>24</v>
      </c>
      <c r="AE181" s="17">
        <v>40148</v>
      </c>
      <c r="AF181" s="65">
        <f t="shared" si="355"/>
        <v>41.664701257861637</v>
      </c>
      <c r="AG181" s="66">
        <f t="shared" si="356"/>
        <v>57.170233227636203</v>
      </c>
      <c r="AH181" s="66">
        <f>AG181-((AG$20*AR$3)+(AR$4*AG181)+(AL181)+(20%*S181))</f>
        <v>42.783349821608311</v>
      </c>
      <c r="AI181" s="66">
        <f t="shared" si="357"/>
        <v>57.557499999999997</v>
      </c>
      <c r="AJ181" s="66">
        <f t="shared" si="358"/>
        <v>9.5918367346938762</v>
      </c>
      <c r="AK181" s="66">
        <f t="shared" si="359"/>
        <v>27.776055828331636</v>
      </c>
      <c r="AL181" s="24">
        <f t="shared" si="333"/>
        <v>4.4398581711084928</v>
      </c>
      <c r="AM181" s="78"/>
      <c r="AN181" s="70">
        <f t="shared" si="319"/>
        <v>441.30741450471697</v>
      </c>
      <c r="AO181" s="70">
        <f t="shared" si="339"/>
        <v>574.09783000000004</v>
      </c>
      <c r="AP181" s="78"/>
      <c r="AQ181" s="78"/>
      <c r="AR181" s="78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86">
        <f t="shared" si="334"/>
        <v>6.1974702797643388E-2</v>
      </c>
      <c r="BE181" s="86">
        <f t="shared" si="335"/>
        <v>3.7103839216696688E-2</v>
      </c>
      <c r="BF181" s="16"/>
      <c r="BG181" s="16"/>
      <c r="BH181" s="16"/>
      <c r="BI181" s="16"/>
    </row>
    <row r="182" spans="8:61" s="6" customFormat="1" ht="19" hidden="1" customHeight="1">
      <c r="H182" s="16"/>
      <c r="I182" s="16"/>
      <c r="J182" s="16"/>
      <c r="K182" s="16"/>
      <c r="L182" s="16"/>
      <c r="M182" s="16"/>
      <c r="N182" s="17">
        <v>40238</v>
      </c>
      <c r="O182" s="17"/>
      <c r="P182" s="16">
        <v>103.3</v>
      </c>
      <c r="Q182" s="60">
        <f t="shared" si="323"/>
        <v>0.77474999999999994</v>
      </c>
      <c r="R182" s="76">
        <v>0.03</v>
      </c>
      <c r="S182" s="60">
        <f t="shared" si="330"/>
        <v>38.875829529069769</v>
      </c>
      <c r="T182" s="61">
        <f t="shared" si="325"/>
        <v>142.17582952906977</v>
      </c>
      <c r="U182" s="16">
        <v>2.5848028315383162</v>
      </c>
      <c r="V182" s="16">
        <v>95.2</v>
      </c>
      <c r="W182" s="62">
        <f t="shared" si="326"/>
        <v>145.98155000000003</v>
      </c>
      <c r="X182" s="16">
        <v>20417</v>
      </c>
      <c r="Y182" s="16">
        <f t="shared" si="331"/>
        <v>583926.20000000007</v>
      </c>
      <c r="Z182" s="63">
        <f t="shared" si="336"/>
        <v>2810.3531508417309</v>
      </c>
      <c r="AA182" s="82">
        <f t="shared" si="327"/>
        <v>4.8000000000000001E-2</v>
      </c>
      <c r="AB182" s="72">
        <f t="shared" si="340"/>
        <v>5.8000000000000003E-2</v>
      </c>
      <c r="AC182" s="18"/>
      <c r="AD182" s="16"/>
      <c r="AE182" s="17">
        <v>40238</v>
      </c>
      <c r="AF182" s="65">
        <f t="shared" si="355"/>
        <v>43.650746855345915</v>
      </c>
      <c r="AG182" s="66">
        <f t="shared" si="356"/>
        <v>59.459847438740091</v>
      </c>
      <c r="AH182" s="66">
        <f>AG182-((AG$20*AR$3)+(AR$4*AG182)+(AL182)+(20%*S182))</f>
        <v>44.720294310192273</v>
      </c>
      <c r="AI182" s="66">
        <f t="shared" si="357"/>
        <v>58.392620000000008</v>
      </c>
      <c r="AJ182" s="66">
        <f t="shared" si="358"/>
        <v>9.7142857142857135</v>
      </c>
      <c r="AK182" s="66">
        <f t="shared" si="359"/>
        <v>28.103531508417309</v>
      </c>
      <c r="AL182" s="24">
        <f t="shared" si="333"/>
        <v>4.5459933251842592</v>
      </c>
      <c r="AM182" s="16"/>
      <c r="AN182" s="73">
        <f t="shared" si="316"/>
        <v>484.95816136006289</v>
      </c>
      <c r="AO182" s="73">
        <f t="shared" ref="AO182" si="376">AO181+AI182</f>
        <v>632.49045000000001</v>
      </c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86">
        <f t="shared" si="334"/>
        <v>4.5273324708335005E-2</v>
      </c>
      <c r="BE182" s="86">
        <f t="shared" si="335"/>
        <v>1.4509316770186409E-2</v>
      </c>
      <c r="BF182" s="16"/>
      <c r="BG182" s="16"/>
      <c r="BH182" s="16"/>
      <c r="BI182" s="16"/>
    </row>
    <row r="183" spans="8:61" s="6" customFormat="1" ht="19" hidden="1" customHeight="1">
      <c r="H183" s="16"/>
      <c r="I183" s="16"/>
      <c r="J183" s="16"/>
      <c r="K183" s="16"/>
      <c r="L183" s="16"/>
      <c r="M183" s="16"/>
      <c r="N183" s="17">
        <v>40330</v>
      </c>
      <c r="O183" s="17"/>
      <c r="P183" s="16">
        <v>106.2</v>
      </c>
      <c r="Q183" s="60">
        <f t="shared" si="323"/>
        <v>0.79649999999999999</v>
      </c>
      <c r="R183" s="18">
        <f t="shared" si="347"/>
        <v>0.03</v>
      </c>
      <c r="S183" s="60">
        <f t="shared" si="330"/>
        <v>39.672329529069771</v>
      </c>
      <c r="T183" s="61">
        <f t="shared" si="325"/>
        <v>145.87232952906976</v>
      </c>
      <c r="U183" s="16">
        <v>2.6639374893153738</v>
      </c>
      <c r="V183" s="16">
        <v>95.8</v>
      </c>
      <c r="W183" s="62">
        <f t="shared" si="326"/>
        <v>129.87260000000001</v>
      </c>
      <c r="X183" s="16">
        <v>18164</v>
      </c>
      <c r="Y183" s="16">
        <f t="shared" si="331"/>
        <v>519490.4</v>
      </c>
      <c r="Z183" s="63">
        <f t="shared" si="336"/>
        <v>2843.4868079398016</v>
      </c>
      <c r="AA183" s="82">
        <f t="shared" si="327"/>
        <v>6.4000000000000001E-2</v>
      </c>
      <c r="AB183" s="72">
        <f t="shared" ref="AB183" si="377">AC183</f>
        <v>7.3999999999999996E-2</v>
      </c>
      <c r="AC183" s="64">
        <v>7.3999999999999996E-2</v>
      </c>
      <c r="AD183" s="16"/>
      <c r="AE183" s="17">
        <v>40330</v>
      </c>
      <c r="AF183" s="65">
        <f t="shared" si="355"/>
        <v>44.876179245283019</v>
      </c>
      <c r="AG183" s="66">
        <f t="shared" si="356"/>
        <v>61.005773541547619</v>
      </c>
      <c r="AH183" s="66">
        <f>AG183-((AG$20*AR$3)+(AR$4*AG183)+(AL183)+(20%*S183))</f>
        <v>45.935968621909318</v>
      </c>
      <c r="AI183" s="66">
        <f t="shared" si="357"/>
        <v>51.949040000000004</v>
      </c>
      <c r="AJ183" s="66">
        <f t="shared" si="358"/>
        <v>9.7755102040816322</v>
      </c>
      <c r="AK183" s="66">
        <f t="shared" si="359"/>
        <v>28.434868079398015</v>
      </c>
      <c r="AL183" s="24">
        <f t="shared" si="333"/>
        <v>4.6551080721624434</v>
      </c>
      <c r="AM183" s="16"/>
      <c r="AN183" s="70">
        <f t="shared" si="319"/>
        <v>484.95816136006289</v>
      </c>
      <c r="AO183" s="70">
        <f t="shared" ref="AO183" si="378">AO182</f>
        <v>632.49045000000001</v>
      </c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86">
        <f t="shared" si="334"/>
        <v>2.7183951502751658E-2</v>
      </c>
      <c r="BE183" s="86">
        <f t="shared" si="335"/>
        <v>-0.11034921878826476</v>
      </c>
      <c r="BF183" s="16"/>
      <c r="BG183" s="16"/>
      <c r="BH183" s="16"/>
      <c r="BI183" s="16"/>
    </row>
    <row r="184" spans="8:61" s="6" customFormat="1" ht="19" hidden="1" customHeight="1">
      <c r="H184" s="16"/>
      <c r="I184" s="16"/>
      <c r="J184" s="16"/>
      <c r="K184" s="16"/>
      <c r="L184" s="16"/>
      <c r="M184" s="16"/>
      <c r="N184" s="17">
        <v>40422</v>
      </c>
      <c r="O184" s="17"/>
      <c r="P184" s="16">
        <v>104.3</v>
      </c>
      <c r="Q184" s="60">
        <f t="shared" si="323"/>
        <v>0.78225</v>
      </c>
      <c r="R184" s="18">
        <f t="shared" si="347"/>
        <v>0.03</v>
      </c>
      <c r="S184" s="60">
        <f t="shared" si="330"/>
        <v>40.454579529069768</v>
      </c>
      <c r="T184" s="61">
        <f t="shared" si="325"/>
        <v>144.75457952906976</v>
      </c>
      <c r="U184" s="16">
        <v>2.6404314519394281</v>
      </c>
      <c r="V184" s="16">
        <v>96.3</v>
      </c>
      <c r="W184" s="62">
        <f t="shared" si="326"/>
        <v>141.14814999999999</v>
      </c>
      <c r="X184" s="16">
        <v>19741</v>
      </c>
      <c r="Y184" s="16">
        <f t="shared" si="331"/>
        <v>564592.6</v>
      </c>
      <c r="Z184" s="63">
        <f t="shared" si="336"/>
        <v>2887.9297504830192</v>
      </c>
      <c r="AA184" s="82">
        <f t="shared" si="327"/>
        <v>6.4000000000000001E-2</v>
      </c>
      <c r="AB184" s="72">
        <f t="shared" ref="AB184" si="379">AB183</f>
        <v>7.3999999999999996E-2</v>
      </c>
      <c r="AC184" s="18"/>
      <c r="AD184" s="16"/>
      <c r="AE184" s="17">
        <v>40422</v>
      </c>
      <c r="AF184" s="65">
        <f t="shared" si="355"/>
        <v>44.073309748427675</v>
      </c>
      <c r="AG184" s="66">
        <f t="shared" si="356"/>
        <v>60.538315432143285</v>
      </c>
      <c r="AH184" s="66">
        <f>AG184-((AG$20*AR$3)+(AR$4*AG184)+(AL184)+(20%*S184))</f>
        <v>45.223596236976974</v>
      </c>
      <c r="AI184" s="66">
        <f t="shared" si="357"/>
        <v>56.45926</v>
      </c>
      <c r="AJ184" s="66">
        <f t="shared" si="358"/>
        <v>9.8265306122448965</v>
      </c>
      <c r="AK184" s="66">
        <f t="shared" si="359"/>
        <v>28.879297504830191</v>
      </c>
      <c r="AL184" s="24">
        <f t="shared" si="333"/>
        <v>4.7622706720666299</v>
      </c>
      <c r="AM184" s="16"/>
      <c r="AN184" s="70">
        <f t="shared" si="319"/>
        <v>484.95816136006289</v>
      </c>
      <c r="AO184" s="70">
        <f t="shared" si="339"/>
        <v>632.49045000000001</v>
      </c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86">
        <f t="shared" si="334"/>
        <v>-1.5507943041231043E-2</v>
      </c>
      <c r="BE184" s="86">
        <f t="shared" si="335"/>
        <v>8.6820083682008331E-2</v>
      </c>
      <c r="BF184" s="16"/>
      <c r="BG184" s="16"/>
      <c r="BH184" s="16"/>
      <c r="BI184" s="16"/>
    </row>
    <row r="185" spans="8:61" s="6" customFormat="1" ht="19" hidden="1" customHeight="1">
      <c r="H185" s="16"/>
      <c r="I185" s="16"/>
      <c r="J185" s="16"/>
      <c r="K185" s="16"/>
      <c r="L185" s="16"/>
      <c r="M185" s="16"/>
      <c r="N185" s="17">
        <v>40513</v>
      </c>
      <c r="O185" s="17"/>
      <c r="P185" s="16">
        <v>105.7</v>
      </c>
      <c r="Q185" s="60">
        <f t="shared" si="323"/>
        <v>0.79274999999999995</v>
      </c>
      <c r="R185" s="18">
        <f t="shared" si="347"/>
        <v>0.03</v>
      </c>
      <c r="S185" s="60">
        <f t="shared" si="330"/>
        <v>41.247329529069766</v>
      </c>
      <c r="T185" s="61">
        <f t="shared" si="325"/>
        <v>146.94732952906978</v>
      </c>
      <c r="U185" s="16">
        <v>2.6902929791885981</v>
      </c>
      <c r="V185" s="16">
        <v>96.9</v>
      </c>
      <c r="W185" s="62">
        <f t="shared" si="326"/>
        <v>148.65564999999998</v>
      </c>
      <c r="X185" s="16">
        <v>20791</v>
      </c>
      <c r="Y185" s="16">
        <f t="shared" si="331"/>
        <v>594622.6</v>
      </c>
      <c r="Z185" s="63">
        <f t="shared" si="336"/>
        <v>2933.0673243979686</v>
      </c>
      <c r="AA185" s="82">
        <f t="shared" si="327"/>
        <v>6.4000000000000001E-2</v>
      </c>
      <c r="AB185" s="72">
        <f t="shared" si="340"/>
        <v>7.3999999999999996E-2</v>
      </c>
      <c r="AC185" s="18"/>
      <c r="AD185" s="16"/>
      <c r="AE185" s="17">
        <v>40513</v>
      </c>
      <c r="AF185" s="65">
        <f t="shared" si="355"/>
        <v>44.664897798742139</v>
      </c>
      <c r="AG185" s="66">
        <f t="shared" si="356"/>
        <v>61.455353024982792</v>
      </c>
      <c r="AH185" s="66">
        <f>AG185-((AG$20*AR$3)+(AR$4*AG185)+(AL185)+(20%*S185))</f>
        <v>45.836801302038921</v>
      </c>
      <c r="AI185" s="66">
        <f t="shared" si="357"/>
        <v>59.462260000000001</v>
      </c>
      <c r="AJ185" s="66">
        <f t="shared" si="358"/>
        <v>9.887755102040817</v>
      </c>
      <c r="AK185" s="66">
        <f t="shared" si="359"/>
        <v>29.330673243979685</v>
      </c>
      <c r="AL185" s="24">
        <f t="shared" si="333"/>
        <v>4.870871696130604</v>
      </c>
      <c r="AM185" s="16"/>
      <c r="AN185" s="70">
        <f t="shared" si="319"/>
        <v>484.95816136006289</v>
      </c>
      <c r="AO185" s="70">
        <f t="shared" si="339"/>
        <v>632.49045000000001</v>
      </c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86">
        <f t="shared" si="334"/>
        <v>1.3559405179735862E-2</v>
      </c>
      <c r="BE185" s="86">
        <f t="shared" si="335"/>
        <v>5.3188794893875624E-2</v>
      </c>
      <c r="BF185" s="16"/>
      <c r="BG185" s="16"/>
      <c r="BH185" s="16"/>
      <c r="BI185" s="16"/>
    </row>
    <row r="186" spans="8:61" s="6" customFormat="1" ht="19" hidden="1" customHeight="1">
      <c r="H186" s="16"/>
      <c r="I186" s="16"/>
      <c r="J186" s="16"/>
      <c r="K186" s="16"/>
      <c r="L186" s="16"/>
      <c r="M186" s="16"/>
      <c r="N186" s="17">
        <v>40603</v>
      </c>
      <c r="O186" s="17"/>
      <c r="P186" s="16">
        <v>104.7</v>
      </c>
      <c r="Q186" s="60">
        <f t="shared" si="323"/>
        <v>0.78525</v>
      </c>
      <c r="R186" s="76">
        <v>0.03</v>
      </c>
      <c r="S186" s="60">
        <f t="shared" si="330"/>
        <v>42.032579529069764</v>
      </c>
      <c r="T186" s="61">
        <f t="shared" si="325"/>
        <v>146.73257952906977</v>
      </c>
      <c r="U186" s="16">
        <v>2.6754343986467637</v>
      </c>
      <c r="V186" s="16">
        <v>98.5</v>
      </c>
      <c r="W186" s="62">
        <f t="shared" si="326"/>
        <v>152.9957</v>
      </c>
      <c r="X186" s="16">
        <v>21398</v>
      </c>
      <c r="Y186" s="16">
        <f t="shared" si="331"/>
        <v>611982.80000000005</v>
      </c>
      <c r="Z186" s="63">
        <f t="shared" si="336"/>
        <v>2978.9103865882425</v>
      </c>
      <c r="AA186" s="82">
        <f t="shared" si="327"/>
        <v>6.4000000000000001E-2</v>
      </c>
      <c r="AB186" s="72">
        <f t="shared" si="340"/>
        <v>7.3999999999999996E-2</v>
      </c>
      <c r="AC186" s="18"/>
      <c r="AD186" s="16"/>
      <c r="AE186" s="17">
        <v>40603</v>
      </c>
      <c r="AF186" s="65">
        <f t="shared" si="355"/>
        <v>44.242334905660378</v>
      </c>
      <c r="AG186" s="66">
        <f t="shared" si="356"/>
        <v>61.365541681663998</v>
      </c>
      <c r="AH186" s="66">
        <f>AG186-((AG$20*AR$3)+(AR$4*AG186)+(AL186)+(20%*S186))</f>
        <v>45.485958834217328</v>
      </c>
      <c r="AI186" s="66">
        <f t="shared" si="357"/>
        <v>61.198280000000004</v>
      </c>
      <c r="AJ186" s="66">
        <f t="shared" si="358"/>
        <v>10.051020408163264</v>
      </c>
      <c r="AK186" s="66">
        <f t="shared" si="359"/>
        <v>29.789103865882424</v>
      </c>
      <c r="AL186" s="24">
        <f t="shared" si="333"/>
        <v>4.978445274366158</v>
      </c>
      <c r="AM186" s="16"/>
      <c r="AN186" s="73">
        <f t="shared" si="316"/>
        <v>529.20049626572325</v>
      </c>
      <c r="AO186" s="73">
        <f t="shared" ref="AO186" si="380">AO185+AI186</f>
        <v>693.68872999999996</v>
      </c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86">
        <f t="shared" si="334"/>
        <v>-7.6541656017778958E-3</v>
      </c>
      <c r="BE186" s="86">
        <f t="shared" si="335"/>
        <v>2.9195324900197273E-2</v>
      </c>
      <c r="BF186" s="16"/>
      <c r="BG186" s="16"/>
      <c r="BH186" s="16"/>
      <c r="BI186" s="16"/>
    </row>
    <row r="187" spans="8:61" s="6" customFormat="1" ht="19" hidden="1" customHeight="1">
      <c r="H187" s="16"/>
      <c r="I187" s="16"/>
      <c r="J187" s="16"/>
      <c r="K187" s="16"/>
      <c r="L187" s="16"/>
      <c r="M187" s="16"/>
      <c r="N187" s="17">
        <v>40695</v>
      </c>
      <c r="O187" s="17"/>
      <c r="P187" s="16">
        <v>103.5</v>
      </c>
      <c r="Q187" s="60">
        <f t="shared" si="323"/>
        <v>0.77625</v>
      </c>
      <c r="R187" s="18">
        <f t="shared" si="347"/>
        <v>0.03</v>
      </c>
      <c r="S187" s="60">
        <f t="shared" si="330"/>
        <v>42.808829529069762</v>
      </c>
      <c r="T187" s="61">
        <f t="shared" si="325"/>
        <v>146.30882952906975</v>
      </c>
      <c r="U187" s="16">
        <v>2.6672884848975622</v>
      </c>
      <c r="V187" s="16">
        <v>99.2</v>
      </c>
      <c r="W187" s="62">
        <f t="shared" si="326"/>
        <v>145.68125000000001</v>
      </c>
      <c r="X187" s="16">
        <v>20375</v>
      </c>
      <c r="Y187" s="16">
        <f t="shared" si="331"/>
        <v>582725</v>
      </c>
      <c r="Z187" s="63">
        <f t="shared" si="336"/>
        <v>3025.4699636479504</v>
      </c>
      <c r="AA187" s="82">
        <f t="shared" si="327"/>
        <v>6.8000000000000005E-2</v>
      </c>
      <c r="AB187" s="72">
        <f t="shared" ref="AB187" si="381">AC187</f>
        <v>7.8E-2</v>
      </c>
      <c r="AC187" s="64">
        <v>7.8E-2</v>
      </c>
      <c r="AD187" s="16"/>
      <c r="AE187" s="17">
        <v>40695</v>
      </c>
      <c r="AF187" s="65">
        <f t="shared" si="355"/>
        <v>43.735259433962263</v>
      </c>
      <c r="AG187" s="66">
        <f t="shared" si="356"/>
        <v>61.188323722495944</v>
      </c>
      <c r="AH187" s="66">
        <f>AG187-((AG$20*AR$3)+(AR$4*AG187)+(AL187)+(20%*S187))</f>
        <v>45.054238950174543</v>
      </c>
      <c r="AI187" s="66">
        <f t="shared" si="357"/>
        <v>58.272500000000001</v>
      </c>
      <c r="AJ187" s="66">
        <f t="shared" si="358"/>
        <v>10.122448979591836</v>
      </c>
      <c r="AK187" s="66">
        <f t="shared" si="359"/>
        <v>30.254699636479504</v>
      </c>
      <c r="AL187" s="24">
        <f t="shared" si="333"/>
        <v>5.0847859176076087</v>
      </c>
      <c r="AM187" s="16"/>
      <c r="AN187" s="70">
        <f t="shared" si="319"/>
        <v>529.20049626572325</v>
      </c>
      <c r="AO187" s="70">
        <f t="shared" ref="AO187" si="382">AO186</f>
        <v>693.68872999999996</v>
      </c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86">
        <f t="shared" si="334"/>
        <v>-9.4912780802592911E-3</v>
      </c>
      <c r="BE187" s="86">
        <f t="shared" si="335"/>
        <v>-4.780820637442762E-2</v>
      </c>
      <c r="BF187" s="16"/>
      <c r="BG187" s="16"/>
      <c r="BH187" s="16"/>
      <c r="BI187" s="16"/>
    </row>
    <row r="188" spans="8:61" s="6" customFormat="1" ht="19" hidden="1" customHeight="1">
      <c r="H188" s="16"/>
      <c r="I188" s="16"/>
      <c r="J188" s="16"/>
      <c r="K188" s="16"/>
      <c r="L188" s="16"/>
      <c r="M188" s="16"/>
      <c r="N188" s="17">
        <v>40787</v>
      </c>
      <c r="O188" s="17"/>
      <c r="P188" s="16">
        <v>101.3</v>
      </c>
      <c r="Q188" s="60">
        <f t="shared" si="323"/>
        <v>0.75974999999999993</v>
      </c>
      <c r="R188" s="18">
        <f t="shared" si="347"/>
        <v>0.03</v>
      </c>
      <c r="S188" s="60">
        <f t="shared" si="330"/>
        <v>43.568579529069758</v>
      </c>
      <c r="T188" s="61">
        <f t="shared" si="325"/>
        <v>144.86857952906976</v>
      </c>
      <c r="U188" s="16">
        <v>2.6401591851791868</v>
      </c>
      <c r="V188" s="16">
        <v>99.8</v>
      </c>
      <c r="W188" s="62">
        <f t="shared" si="326"/>
        <v>129.25055</v>
      </c>
      <c r="X188" s="16">
        <v>18077</v>
      </c>
      <c r="Y188" s="16">
        <f t="shared" si="331"/>
        <v>517002.2</v>
      </c>
      <c r="Z188" s="63">
        <f t="shared" si="336"/>
        <v>3075.6411218402241</v>
      </c>
      <c r="AA188" s="82">
        <f t="shared" si="327"/>
        <v>6.8000000000000005E-2</v>
      </c>
      <c r="AB188" s="72">
        <f t="shared" ref="AB188" si="383">AB187</f>
        <v>7.8E-2</v>
      </c>
      <c r="AC188" s="18"/>
      <c r="AD188" s="16"/>
      <c r="AE188" s="17">
        <v>40787</v>
      </c>
      <c r="AF188" s="65">
        <f t="shared" si="355"/>
        <v>42.805621069182394</v>
      </c>
      <c r="AG188" s="66">
        <f t="shared" si="356"/>
        <v>60.585991768061064</v>
      </c>
      <c r="AH188" s="66">
        <f>AG188-((AG$20*AR$3)+(AR$4*AG188)+(AL188)+(20%*S188))</f>
        <v>44.219970011498134</v>
      </c>
      <c r="AI188" s="66">
        <f t="shared" si="357"/>
        <v>51.700220000000002</v>
      </c>
      <c r="AJ188" s="66">
        <f t="shared" si="358"/>
        <v>10.183673469387754</v>
      </c>
      <c r="AK188" s="66">
        <f t="shared" si="359"/>
        <v>30.756411218402242</v>
      </c>
      <c r="AL188" s="24">
        <f t="shared" si="333"/>
        <v>5.1888661800265359</v>
      </c>
      <c r="AM188" s="16"/>
      <c r="AN188" s="70">
        <f t="shared" si="319"/>
        <v>529.20049626572325</v>
      </c>
      <c r="AO188" s="70">
        <f t="shared" si="339"/>
        <v>693.68872999999996</v>
      </c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86">
        <f t="shared" si="334"/>
        <v>-1.8516991033829866E-2</v>
      </c>
      <c r="BE188" s="86">
        <f t="shared" si="335"/>
        <v>-0.11278527607361966</v>
      </c>
      <c r="BF188" s="16"/>
      <c r="BG188" s="16"/>
      <c r="BH188" s="16"/>
      <c r="BI188" s="16"/>
    </row>
    <row r="189" spans="8:61" s="6" customFormat="1" ht="19" hidden="1" customHeight="1">
      <c r="H189" s="16"/>
      <c r="I189" s="16"/>
      <c r="J189" s="16"/>
      <c r="K189" s="16"/>
      <c r="L189" s="16"/>
      <c r="M189" s="16"/>
      <c r="N189" s="17">
        <v>40878</v>
      </c>
      <c r="O189" s="17"/>
      <c r="P189" s="16">
        <v>100</v>
      </c>
      <c r="Q189" s="60">
        <f t="shared" si="323"/>
        <v>0.75</v>
      </c>
      <c r="R189" s="18">
        <f t="shared" si="347"/>
        <v>0.03</v>
      </c>
      <c r="S189" s="60">
        <f t="shared" si="330"/>
        <v>44.318579529069758</v>
      </c>
      <c r="T189" s="61">
        <f t="shared" si="325"/>
        <v>144.31857952906975</v>
      </c>
      <c r="U189" s="16">
        <v>2.6319362971360705</v>
      </c>
      <c r="V189" s="16">
        <v>99.9</v>
      </c>
      <c r="W189" s="62">
        <f t="shared" si="326"/>
        <v>131.6601</v>
      </c>
      <c r="X189" s="16">
        <v>18414</v>
      </c>
      <c r="Y189" s="16">
        <f t="shared" si="331"/>
        <v>526640.4</v>
      </c>
      <c r="Z189" s="63">
        <f t="shared" si="336"/>
        <v>3126.6442648628213</v>
      </c>
      <c r="AA189" s="82">
        <f t="shared" si="327"/>
        <v>6.8000000000000005E-2</v>
      </c>
      <c r="AB189" s="72">
        <f t="shared" si="340"/>
        <v>7.8E-2</v>
      </c>
      <c r="AC189" s="18"/>
      <c r="AD189" s="16"/>
      <c r="AE189" s="17">
        <v>40878</v>
      </c>
      <c r="AF189" s="65">
        <f t="shared" si="355"/>
        <v>42.2562893081761</v>
      </c>
      <c r="AG189" s="66">
        <f t="shared" si="356"/>
        <v>60.355974357931437</v>
      </c>
      <c r="AH189" s="66">
        <f>AG189-((AG$20*AR$3)+(AR$4*AG189)+(AL189)+(20%*S189))</f>
        <v>43.746408714931711</v>
      </c>
      <c r="AI189" s="66">
        <f t="shared" si="357"/>
        <v>52.66404</v>
      </c>
      <c r="AJ189" s="66">
        <f t="shared" si="358"/>
        <v>10.193877551020408</v>
      </c>
      <c r="AK189" s="66">
        <f t="shared" si="359"/>
        <v>31.266442648628214</v>
      </c>
      <c r="AL189" s="24">
        <f t="shared" si="333"/>
        <v>5.2916107628685172</v>
      </c>
      <c r="AM189" s="16"/>
      <c r="AN189" s="70">
        <f t="shared" si="319"/>
        <v>529.20049626572325</v>
      </c>
      <c r="AO189" s="70">
        <f t="shared" si="339"/>
        <v>693.68872999999996</v>
      </c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86">
        <f t="shared" si="334"/>
        <v>-1.0709217949340211E-2</v>
      </c>
      <c r="BE189" s="86">
        <f t="shared" si="335"/>
        <v>1.8642473861813391E-2</v>
      </c>
      <c r="BF189" s="16"/>
      <c r="BG189" s="16"/>
      <c r="BH189" s="16"/>
      <c r="BI189" s="16"/>
    </row>
    <row r="190" spans="8:61" s="6" customFormat="1" ht="19" hidden="1" customHeight="1">
      <c r="H190" s="16"/>
      <c r="I190" s="16"/>
      <c r="J190" s="16"/>
      <c r="K190" s="16"/>
      <c r="L190" s="16"/>
      <c r="M190" s="16"/>
      <c r="N190" s="17">
        <v>40969</v>
      </c>
      <c r="O190" s="17"/>
      <c r="P190" s="16">
        <v>99.4</v>
      </c>
      <c r="Q190" s="60">
        <f t="shared" si="323"/>
        <v>0.74550000000000005</v>
      </c>
      <c r="R190" s="76">
        <v>0.03</v>
      </c>
      <c r="S190" s="60">
        <f t="shared" si="330"/>
        <v>45.064079529069758</v>
      </c>
      <c r="T190" s="61">
        <f t="shared" si="325"/>
        <v>144.46407952906975</v>
      </c>
      <c r="U190" s="16">
        <v>2.6259253065925265</v>
      </c>
      <c r="V190" s="16">
        <v>99.9</v>
      </c>
      <c r="W190" s="62">
        <f t="shared" si="326"/>
        <v>143</v>
      </c>
      <c r="X190" s="16">
        <v>20000</v>
      </c>
      <c r="Y190" s="16">
        <f t="shared" si="331"/>
        <v>572000</v>
      </c>
      <c r="Z190" s="63">
        <f t="shared" si="336"/>
        <v>3178.4931894623751</v>
      </c>
      <c r="AA190" s="82">
        <f t="shared" si="327"/>
        <v>6.8000000000000005E-2</v>
      </c>
      <c r="AB190" s="72">
        <f t="shared" si="340"/>
        <v>7.8E-2</v>
      </c>
      <c r="AC190" s="18"/>
      <c r="AD190" s="16"/>
      <c r="AE190" s="17">
        <v>40969</v>
      </c>
      <c r="AF190" s="65">
        <f t="shared" si="355"/>
        <v>42.00275157232705</v>
      </c>
      <c r="AG190" s="66">
        <f t="shared" si="356"/>
        <v>60.41682441824755</v>
      </c>
      <c r="AH190" s="66">
        <f>AG190-((AG$20*AR$3)+(AR$4*AG190)+(AL190)+(20%*S190))</f>
        <v>43.553596657490246</v>
      </c>
      <c r="AI190" s="66">
        <f t="shared" si="357"/>
        <v>57.2</v>
      </c>
      <c r="AJ190" s="66">
        <f t="shared" si="358"/>
        <v>10.193877551020408</v>
      </c>
      <c r="AK190" s="66">
        <f t="shared" si="359"/>
        <v>31.78493189462375</v>
      </c>
      <c r="AL190" s="24">
        <f t="shared" si="333"/>
        <v>5.3937388782134468</v>
      </c>
      <c r="AM190" s="16"/>
      <c r="AN190" s="73">
        <f t="shared" si="316"/>
        <v>571.20324783805029</v>
      </c>
      <c r="AO190" s="73">
        <f t="shared" ref="AO190" si="384">AO189+AI190</f>
        <v>750.88873000000001</v>
      </c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86">
        <f t="shared" si="334"/>
        <v>-4.4074945373894225E-3</v>
      </c>
      <c r="BE190" s="86">
        <f t="shared" si="335"/>
        <v>8.6130118388182852E-2</v>
      </c>
      <c r="BF190" s="16"/>
      <c r="BG190" s="16"/>
      <c r="BH190" s="16"/>
      <c r="BI190" s="16"/>
    </row>
    <row r="191" spans="8:61" s="6" customFormat="1" ht="19" hidden="1" customHeight="1">
      <c r="H191" s="16"/>
      <c r="I191" s="16"/>
      <c r="J191" s="16"/>
      <c r="K191" s="16"/>
      <c r="L191" s="16"/>
      <c r="M191" s="16"/>
      <c r="N191" s="17">
        <v>41061</v>
      </c>
      <c r="O191" s="17"/>
      <c r="P191" s="16">
        <v>99.3</v>
      </c>
      <c r="Q191" s="60">
        <f t="shared" si="323"/>
        <v>0.74474999999999991</v>
      </c>
      <c r="R191" s="18">
        <f t="shared" si="347"/>
        <v>0.03</v>
      </c>
      <c r="S191" s="60">
        <f t="shared" si="330"/>
        <v>45.808829529069762</v>
      </c>
      <c r="T191" s="61">
        <f t="shared" si="325"/>
        <v>145.10882952906977</v>
      </c>
      <c r="U191" s="16">
        <v>2.649187446576871</v>
      </c>
      <c r="V191" s="16">
        <v>100.4</v>
      </c>
      <c r="W191" s="62">
        <f t="shared" si="326"/>
        <v>135.42099999999999</v>
      </c>
      <c r="X191" s="16">
        <v>18940</v>
      </c>
      <c r="Y191" s="16">
        <f t="shared" si="331"/>
        <v>541684</v>
      </c>
      <c r="Z191" s="63">
        <f t="shared" si="336"/>
        <v>3231.2019211760103</v>
      </c>
      <c r="AA191" s="82">
        <f t="shared" si="327"/>
        <v>5.8500000000000003E-2</v>
      </c>
      <c r="AB191" s="72">
        <f t="shared" ref="AB191" si="385">AC191</f>
        <v>6.8500000000000005E-2</v>
      </c>
      <c r="AC191" s="64">
        <v>6.8500000000000005E-2</v>
      </c>
      <c r="AD191" s="16"/>
      <c r="AE191" s="17">
        <v>41061</v>
      </c>
      <c r="AF191" s="65">
        <f t="shared" si="355"/>
        <v>41.960495283018865</v>
      </c>
      <c r="AG191" s="66">
        <f t="shared" si="356"/>
        <v>60.686467554940414</v>
      </c>
      <c r="AH191" s="66">
        <f>AG191-((AG$20*AR$3)+(AR$4*AG191)+(AL191)+(20%*S191))</f>
        <v>43.561478697953312</v>
      </c>
      <c r="AI191" s="66">
        <f t="shared" si="357"/>
        <v>54.168399999999998</v>
      </c>
      <c r="AJ191" s="66">
        <f t="shared" si="358"/>
        <v>10.244897959183673</v>
      </c>
      <c r="AK191" s="66">
        <f t="shared" si="359"/>
        <v>32.312019211760102</v>
      </c>
      <c r="AL191" s="24">
        <f t="shared" si="333"/>
        <v>5.4957642489755338</v>
      </c>
      <c r="AM191" s="16"/>
      <c r="AN191" s="70">
        <f t="shared" si="319"/>
        <v>571.20324783805029</v>
      </c>
      <c r="AO191" s="70">
        <f t="shared" ref="AO191" si="386">AO190</f>
        <v>750.88873000000001</v>
      </c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86">
        <f t="shared" si="334"/>
        <v>1.8097335393574276E-4</v>
      </c>
      <c r="BE191" s="86">
        <f t="shared" si="335"/>
        <v>-5.3000000000000047E-2</v>
      </c>
      <c r="BF191" s="16"/>
      <c r="BG191" s="16"/>
      <c r="BH191" s="16"/>
      <c r="BI191" s="16"/>
    </row>
    <row r="192" spans="8:61" s="6" customFormat="1" ht="19" hidden="1" customHeight="1">
      <c r="H192" s="16"/>
      <c r="I192" s="16"/>
      <c r="J192" s="16"/>
      <c r="K192" s="16"/>
      <c r="L192" s="16"/>
      <c r="M192" s="16"/>
      <c r="N192" s="17">
        <v>41153</v>
      </c>
      <c r="O192" s="17"/>
      <c r="P192" s="16">
        <v>98.6</v>
      </c>
      <c r="Q192" s="60">
        <f t="shared" si="323"/>
        <v>0.73949999999999994</v>
      </c>
      <c r="R192" s="18">
        <f t="shared" si="347"/>
        <v>0.03</v>
      </c>
      <c r="S192" s="60">
        <f t="shared" si="330"/>
        <v>46.548329529069761</v>
      </c>
      <c r="T192" s="61">
        <f t="shared" si="325"/>
        <v>145.14832952906977</v>
      </c>
      <c r="U192" s="16">
        <v>2.6430994817394118</v>
      </c>
      <c r="V192" s="16">
        <v>101.6</v>
      </c>
      <c r="W192" s="62">
        <f t="shared" si="326"/>
        <v>146.52495000000002</v>
      </c>
      <c r="X192" s="16">
        <v>20493</v>
      </c>
      <c r="Y192" s="16">
        <f t="shared" si="331"/>
        <v>586099.80000000005</v>
      </c>
      <c r="Z192" s="63">
        <f t="shared" si="336"/>
        <v>3277.4555773276238</v>
      </c>
      <c r="AA192" s="82">
        <f t="shared" si="327"/>
        <v>5.8500000000000003E-2</v>
      </c>
      <c r="AB192" s="72">
        <f t="shared" ref="AB192" si="387">AB191</f>
        <v>6.8500000000000005E-2</v>
      </c>
      <c r="AC192" s="18"/>
      <c r="AD192" s="16"/>
      <c r="AE192" s="17">
        <v>41153</v>
      </c>
      <c r="AF192" s="65">
        <f t="shared" si="355"/>
        <v>41.664701257861637</v>
      </c>
      <c r="AG192" s="66">
        <f t="shared" si="356"/>
        <v>60.702986987122451</v>
      </c>
      <c r="AH192" s="66">
        <f>AG192-((AG$20*AR$3)+(AR$4*AG192)+(AL192)+(20%*S192))</f>
        <v>43.32813119416587</v>
      </c>
      <c r="AI192" s="66">
        <f t="shared" si="357"/>
        <v>58.609980000000007</v>
      </c>
      <c r="AJ192" s="66">
        <f t="shared" si="358"/>
        <v>10.367346938775508</v>
      </c>
      <c r="AK192" s="66">
        <f t="shared" si="359"/>
        <v>32.774555773276241</v>
      </c>
      <c r="AL192" s="24">
        <f t="shared" si="333"/>
        <v>5.5970704076577276</v>
      </c>
      <c r="AM192" s="16"/>
      <c r="AN192" s="70">
        <f t="shared" si="319"/>
        <v>571.20324783805029</v>
      </c>
      <c r="AO192" s="70">
        <f t="shared" si="339"/>
        <v>750.88873000000001</v>
      </c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86">
        <f t="shared" si="334"/>
        <v>-5.3567397334105538E-3</v>
      </c>
      <c r="BE192" s="86">
        <f t="shared" si="335"/>
        <v>8.1995776135163734E-2</v>
      </c>
      <c r="BF192" s="16"/>
      <c r="BG192" s="16"/>
      <c r="BH192" s="16"/>
      <c r="BI192" s="16"/>
    </row>
    <row r="193" spans="8:61" s="6" customFormat="1" ht="19" hidden="1" customHeight="1">
      <c r="H193" s="16"/>
      <c r="I193" s="16"/>
      <c r="J193" s="16"/>
      <c r="K193" s="16"/>
      <c r="L193" s="16"/>
      <c r="M193" s="16"/>
      <c r="N193" s="17">
        <v>41244</v>
      </c>
      <c r="O193" s="17"/>
      <c r="P193" s="16">
        <v>100.4</v>
      </c>
      <c r="Q193" s="60">
        <f t="shared" si="323"/>
        <v>0.753</v>
      </c>
      <c r="R193" s="18">
        <f t="shared" si="347"/>
        <v>0.03</v>
      </c>
      <c r="S193" s="60">
        <f t="shared" si="330"/>
        <v>47.301329529069761</v>
      </c>
      <c r="T193" s="61">
        <f t="shared" si="325"/>
        <v>147.70132952906977</v>
      </c>
      <c r="U193" s="16">
        <v>2.6998661115160023</v>
      </c>
      <c r="V193" s="16">
        <v>102</v>
      </c>
      <c r="W193" s="62">
        <f t="shared" si="326"/>
        <v>156.46344999999999</v>
      </c>
      <c r="X193" s="16">
        <v>21883</v>
      </c>
      <c r="Y193" s="16">
        <f t="shared" si="331"/>
        <v>625853.79999999993</v>
      </c>
      <c r="Z193" s="63">
        <f t="shared" si="336"/>
        <v>3324.3713402616613</v>
      </c>
      <c r="AA193" s="82">
        <f t="shared" si="327"/>
        <v>5.8500000000000003E-2</v>
      </c>
      <c r="AB193" s="72">
        <f t="shared" si="340"/>
        <v>6.8500000000000005E-2</v>
      </c>
      <c r="AC193" s="18"/>
      <c r="AD193" s="16"/>
      <c r="AE193" s="17">
        <v>41244</v>
      </c>
      <c r="AF193" s="65">
        <f t="shared" si="355"/>
        <v>42.42531446540881</v>
      </c>
      <c r="AG193" s="66">
        <f t="shared" si="356"/>
        <v>61.770685983596856</v>
      </c>
      <c r="AH193" s="66">
        <f>AG193-((AG$20*AR$3)+(AR$4*AG193)+(AL193)+(20%*S193))</f>
        <v>44.099366669607953</v>
      </c>
      <c r="AI193" s="66">
        <f t="shared" si="357"/>
        <v>62.585379999999994</v>
      </c>
      <c r="AJ193" s="66">
        <f t="shared" si="358"/>
        <v>10.408163265306122</v>
      </c>
      <c r="AK193" s="66">
        <f t="shared" si="359"/>
        <v>33.243713402616613</v>
      </c>
      <c r="AL193" s="24">
        <f t="shared" si="333"/>
        <v>5.7002259688310764</v>
      </c>
      <c r="AM193" s="16"/>
      <c r="AN193" s="70">
        <f t="shared" si="319"/>
        <v>571.20324783805029</v>
      </c>
      <c r="AO193" s="70">
        <f t="shared" si="339"/>
        <v>750.88873000000001</v>
      </c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86">
        <f t="shared" si="334"/>
        <v>1.7799878605101904E-2</v>
      </c>
      <c r="BE193" s="86">
        <f t="shared" si="335"/>
        <v>6.7828038842531413E-2</v>
      </c>
      <c r="BF193" s="16"/>
      <c r="BG193" s="16"/>
      <c r="BH193" s="16"/>
      <c r="BI193" s="16"/>
    </row>
    <row r="194" spans="8:61" s="6" customFormat="1" ht="19" hidden="1" customHeight="1">
      <c r="H194" s="16"/>
      <c r="I194" s="16"/>
      <c r="J194" s="16"/>
      <c r="K194" s="16"/>
      <c r="L194" s="16"/>
      <c r="M194" s="16"/>
      <c r="N194" s="17">
        <v>41334</v>
      </c>
      <c r="O194" s="17"/>
      <c r="P194" s="16">
        <v>100.8</v>
      </c>
      <c r="Q194" s="60">
        <f t="shared" si="323"/>
        <v>0.75600000000000001</v>
      </c>
      <c r="R194" s="76">
        <v>0.03</v>
      </c>
      <c r="S194" s="60">
        <f t="shared" si="330"/>
        <v>48.057329529069762</v>
      </c>
      <c r="T194" s="61">
        <f t="shared" si="325"/>
        <v>148.85732952906977</v>
      </c>
      <c r="U194" s="16">
        <v>2.7255325847347063</v>
      </c>
      <c r="V194" s="16">
        <v>102.4</v>
      </c>
      <c r="W194" s="62">
        <f t="shared" si="326"/>
        <v>169.04745</v>
      </c>
      <c r="X194" s="16">
        <v>23643</v>
      </c>
      <c r="Y194" s="16">
        <f t="shared" si="331"/>
        <v>676189.8</v>
      </c>
      <c r="Z194" s="63">
        <f t="shared" si="336"/>
        <v>3371.958687831936</v>
      </c>
      <c r="AA194" s="82">
        <f t="shared" si="327"/>
        <v>5.8500000000000003E-2</v>
      </c>
      <c r="AB194" s="72">
        <f t="shared" si="340"/>
        <v>6.8500000000000005E-2</v>
      </c>
      <c r="AC194" s="18"/>
      <c r="AD194" s="16"/>
      <c r="AE194" s="17">
        <v>41334</v>
      </c>
      <c r="AF194" s="65">
        <f t="shared" si="355"/>
        <v>42.594339622641506</v>
      </c>
      <c r="AG194" s="66">
        <f t="shared" si="356"/>
        <v>62.254140758342018</v>
      </c>
      <c r="AH194" s="66">
        <f>AG194-((AG$20*AR$3)+(AR$4*AG194)+(AL194)+(20%*S194))</f>
        <v>44.308716713858587</v>
      </c>
      <c r="AI194" s="66">
        <f t="shared" si="357"/>
        <v>67.618980000000008</v>
      </c>
      <c r="AJ194" s="66">
        <f t="shared" si="358"/>
        <v>10.448979591836734</v>
      </c>
      <c r="AK194" s="66">
        <f t="shared" si="359"/>
        <v>33.719586878319362</v>
      </c>
      <c r="AL194" s="24">
        <f t="shared" si="333"/>
        <v>5.8037925083357935</v>
      </c>
      <c r="AM194" s="16"/>
      <c r="AN194" s="73">
        <f t="shared" si="316"/>
        <v>613.79758746069183</v>
      </c>
      <c r="AO194" s="73">
        <f t="shared" ref="AO194" si="388">AO193+AI194</f>
        <v>818.50770999999997</v>
      </c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86">
        <f t="shared" si="334"/>
        <v>4.7472347124410952E-3</v>
      </c>
      <c r="BE194" s="86">
        <f t="shared" si="335"/>
        <v>8.0427729287575023E-2</v>
      </c>
      <c r="BF194" s="16"/>
      <c r="BG194" s="16"/>
      <c r="BH194" s="16"/>
      <c r="BI194" s="16"/>
    </row>
    <row r="195" spans="8:61" s="6" customFormat="1" ht="19" hidden="1" customHeight="1">
      <c r="H195" s="16"/>
      <c r="I195" s="16"/>
      <c r="J195" s="16"/>
      <c r="K195" s="16"/>
      <c r="L195" s="16"/>
      <c r="M195" s="16"/>
      <c r="N195" s="17">
        <v>41426</v>
      </c>
      <c r="O195" s="17"/>
      <c r="P195" s="16">
        <v>102.7</v>
      </c>
      <c r="Q195" s="60">
        <f t="shared" si="323"/>
        <v>0.77024999999999999</v>
      </c>
      <c r="R195" s="18">
        <f t="shared" si="347"/>
        <v>0.03</v>
      </c>
      <c r="S195" s="60">
        <f t="shared" si="330"/>
        <v>48.827579529069759</v>
      </c>
      <c r="T195" s="61">
        <f t="shared" si="325"/>
        <v>151.52757952906975</v>
      </c>
      <c r="U195" s="16">
        <v>2.7868769580982713</v>
      </c>
      <c r="V195" s="16">
        <v>102.6</v>
      </c>
      <c r="W195" s="62">
        <f t="shared" si="326"/>
        <v>163.41325000000001</v>
      </c>
      <c r="X195" s="16">
        <v>22855</v>
      </c>
      <c r="Y195" s="16">
        <f t="shared" si="331"/>
        <v>653653</v>
      </c>
      <c r="Z195" s="63">
        <f t="shared" si="336"/>
        <v>3420.2272335648067</v>
      </c>
      <c r="AA195" s="82">
        <f t="shared" si="327"/>
        <v>5.1999999999999998E-2</v>
      </c>
      <c r="AB195" s="72">
        <f t="shared" ref="AB195" si="389">AC195</f>
        <v>6.2E-2</v>
      </c>
      <c r="AC195" s="64">
        <v>6.2E-2</v>
      </c>
      <c r="AD195" s="16"/>
      <c r="AE195" s="17">
        <v>41426</v>
      </c>
      <c r="AF195" s="65">
        <f t="shared" ref="AF195:AF206" si="390">P195/P$20</f>
        <v>43.397209119496857</v>
      </c>
      <c r="AG195" s="66">
        <f t="shared" ref="AG195:AG206" si="391">(T195/T$20)</f>
        <v>63.370875284521318</v>
      </c>
      <c r="AH195" s="66">
        <f>AG195-((AG$20*AR$3)+(AR$4*AG195)+(AL195)+(20%*S195))</f>
        <v>45.121213172412006</v>
      </c>
      <c r="AI195" s="66">
        <f t="shared" ref="AI195:AI206" si="392">Y195/Y$20</f>
        <v>65.365300000000005</v>
      </c>
      <c r="AJ195" s="66">
        <f t="shared" ref="AJ195:AJ206" si="393">V195/V$20</f>
        <v>10.469387755102039</v>
      </c>
      <c r="AK195" s="66">
        <f t="shared" ref="AK195:AK206" si="394">Z195/100</f>
        <v>34.202272335648068</v>
      </c>
      <c r="AL195" s="24">
        <f t="shared" ref="AL195:AL206" si="395">((SUM(AR$6:AR$8)*AF195)/4)+AL194</f>
        <v>5.9093111949145083</v>
      </c>
      <c r="AM195" s="16"/>
      <c r="AN195" s="70">
        <f t="shared" si="319"/>
        <v>613.79758746069183</v>
      </c>
      <c r="AO195" s="70">
        <f t="shared" si="319"/>
        <v>818.50770999999997</v>
      </c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86">
        <f t="shared" si="334"/>
        <v>1.8337169722166369E-2</v>
      </c>
      <c r="BE195" s="86">
        <f t="shared" si="335"/>
        <v>-3.3329103751639E-2</v>
      </c>
      <c r="BF195" s="16"/>
      <c r="BG195" s="16"/>
      <c r="BH195" s="16"/>
      <c r="BI195" s="16"/>
    </row>
    <row r="196" spans="8:61" s="6" customFormat="1" ht="19" hidden="1" customHeight="1">
      <c r="H196" s="16"/>
      <c r="I196" s="16"/>
      <c r="J196" s="16"/>
      <c r="K196" s="16"/>
      <c r="L196" s="16"/>
      <c r="M196" s="16"/>
      <c r="N196" s="17">
        <v>41518</v>
      </c>
      <c r="O196" s="17"/>
      <c r="P196" s="16">
        <v>105.9</v>
      </c>
      <c r="Q196" s="60">
        <f t="shared" si="323"/>
        <v>0.79425000000000001</v>
      </c>
      <c r="R196" s="18">
        <f t="shared" si="347"/>
        <v>0.03</v>
      </c>
      <c r="S196" s="60">
        <f t="shared" si="330"/>
        <v>49.621829529069757</v>
      </c>
      <c r="T196" s="61">
        <f t="shared" si="325"/>
        <v>155.52182952906975</v>
      </c>
      <c r="U196" s="16">
        <v>2.8776484105775548</v>
      </c>
      <c r="V196" s="16">
        <v>104</v>
      </c>
      <c r="W196" s="62">
        <f t="shared" si="326"/>
        <v>181.02370000000002</v>
      </c>
      <c r="X196" s="16">
        <v>25318</v>
      </c>
      <c r="Y196" s="16">
        <f t="shared" si="331"/>
        <v>724094.8</v>
      </c>
      <c r="Z196" s="63">
        <f t="shared" si="336"/>
        <v>3463.848554836366</v>
      </c>
      <c r="AA196" s="82">
        <f t="shared" si="327"/>
        <v>5.1999999999999998E-2</v>
      </c>
      <c r="AB196" s="72">
        <f t="shared" ref="AB196" si="396">AB195</f>
        <v>6.2E-2</v>
      </c>
      <c r="AC196" s="18"/>
      <c r="AD196" s="16"/>
      <c r="AE196" s="17">
        <v>41518</v>
      </c>
      <c r="AF196" s="65">
        <f t="shared" si="390"/>
        <v>44.749410377358494</v>
      </c>
      <c r="AG196" s="66">
        <f t="shared" si="391"/>
        <v>65.041324448903566</v>
      </c>
      <c r="AH196" s="66">
        <f>AG196-((AG$20*AR$3)+(AR$4*AG196)+(AL196)+(20%*S196))</f>
        <v>46.457187856989307</v>
      </c>
      <c r="AI196" s="66">
        <f t="shared" si="392"/>
        <v>72.409480000000002</v>
      </c>
      <c r="AJ196" s="66">
        <f t="shared" si="393"/>
        <v>10.612244897959183</v>
      </c>
      <c r="AK196" s="66">
        <f t="shared" si="394"/>
        <v>34.638485548363661</v>
      </c>
      <c r="AL196" s="24">
        <f t="shared" si="395"/>
        <v>6.0181177081441666</v>
      </c>
      <c r="AM196" s="16"/>
      <c r="AN196" s="70">
        <f t="shared" si="319"/>
        <v>613.79758746069183</v>
      </c>
      <c r="AO196" s="70">
        <f t="shared" si="339"/>
        <v>818.50770999999997</v>
      </c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86">
        <f t="shared" si="334"/>
        <v>2.9608571903251502E-2</v>
      </c>
      <c r="BE196" s="86">
        <f t="shared" si="335"/>
        <v>0.10776635309560256</v>
      </c>
      <c r="BF196" s="16"/>
      <c r="BG196" s="16"/>
      <c r="BH196" s="16"/>
      <c r="BI196" s="16"/>
    </row>
    <row r="197" spans="8:61" s="6" customFormat="1" ht="19" hidden="1" customHeight="1">
      <c r="H197" s="16"/>
      <c r="I197" s="16"/>
      <c r="J197" s="16"/>
      <c r="K197" s="16"/>
      <c r="L197" s="16"/>
      <c r="M197" s="16"/>
      <c r="N197" s="17">
        <v>41609</v>
      </c>
      <c r="O197" s="17"/>
      <c r="P197" s="16">
        <v>109.7</v>
      </c>
      <c r="Q197" s="60">
        <f t="shared" si="323"/>
        <v>0.82274999999999998</v>
      </c>
      <c r="R197" s="18">
        <f t="shared" si="347"/>
        <v>0.03</v>
      </c>
      <c r="S197" s="60">
        <f t="shared" si="330"/>
        <v>50.444579529069756</v>
      </c>
      <c r="T197" s="61">
        <f t="shared" si="325"/>
        <v>160.14457952906974</v>
      </c>
      <c r="U197" s="16">
        <v>2.9790175047912113</v>
      </c>
      <c r="V197" s="16">
        <v>104.8</v>
      </c>
      <c r="W197" s="62">
        <f t="shared" si="326"/>
        <v>187.21559999999997</v>
      </c>
      <c r="X197" s="16">
        <v>26184</v>
      </c>
      <c r="Y197" s="16">
        <f t="shared" si="331"/>
        <v>748862.39999999991</v>
      </c>
      <c r="Z197" s="63">
        <f t="shared" si="336"/>
        <v>3508.0262191633815</v>
      </c>
      <c r="AA197" s="82">
        <f t="shared" si="327"/>
        <v>5.1999999999999998E-2</v>
      </c>
      <c r="AB197" s="72">
        <f t="shared" si="340"/>
        <v>6.2E-2</v>
      </c>
      <c r="AC197" s="18"/>
      <c r="AD197" s="16"/>
      <c r="AE197" s="17">
        <v>41609</v>
      </c>
      <c r="AF197" s="65">
        <f t="shared" si="390"/>
        <v>46.355149371069189</v>
      </c>
      <c r="AG197" s="66">
        <f t="shared" si="391"/>
        <v>66.974620781043029</v>
      </c>
      <c r="AH197" s="66">
        <f>AG197-((AG$20*AR$3)+(AR$4*AG197)+(AL197)+(20%*S197))</f>
        <v>48.035891528465534</v>
      </c>
      <c r="AI197" s="66">
        <f t="shared" si="392"/>
        <v>74.886239999999987</v>
      </c>
      <c r="AJ197" s="66">
        <f t="shared" si="393"/>
        <v>10.693877551020407</v>
      </c>
      <c r="AK197" s="66">
        <f t="shared" si="394"/>
        <v>35.080262191633814</v>
      </c>
      <c r="AL197" s="24">
        <f t="shared" si="395"/>
        <v>6.1308285155218201</v>
      </c>
      <c r="AM197" s="16"/>
      <c r="AN197" s="70">
        <f t="shared" si="319"/>
        <v>613.79758746069183</v>
      </c>
      <c r="AO197" s="70">
        <f t="shared" si="339"/>
        <v>818.50770999999997</v>
      </c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86">
        <f t="shared" si="334"/>
        <v>3.3981903431951288E-2</v>
      </c>
      <c r="BE197" s="86">
        <f t="shared" si="335"/>
        <v>3.4204913500276213E-2</v>
      </c>
      <c r="BF197" s="16"/>
      <c r="BG197" s="16"/>
      <c r="BH197" s="16"/>
      <c r="BI197" s="16"/>
    </row>
    <row r="198" spans="8:61" s="6" customFormat="1" ht="19" hidden="1" customHeight="1">
      <c r="H198" s="16"/>
      <c r="I198" s="16"/>
      <c r="J198" s="16"/>
      <c r="K198" s="16"/>
      <c r="L198" s="16"/>
      <c r="M198" s="16"/>
      <c r="N198" s="17">
        <v>41699</v>
      </c>
      <c r="O198" s="17"/>
      <c r="P198" s="16">
        <v>110.7</v>
      </c>
      <c r="Q198" s="60">
        <f t="shared" si="323"/>
        <v>0.83025000000000004</v>
      </c>
      <c r="R198" s="76">
        <v>0.03</v>
      </c>
      <c r="S198" s="60">
        <f t="shared" si="330"/>
        <v>51.274829529069756</v>
      </c>
      <c r="T198" s="61">
        <f t="shared" si="325"/>
        <v>161.97482952906975</v>
      </c>
      <c r="U198" s="16">
        <v>3.0241215123131879</v>
      </c>
      <c r="V198" s="16">
        <v>105.3</v>
      </c>
      <c r="W198" s="62">
        <f t="shared" si="326"/>
        <v>191.34115</v>
      </c>
      <c r="X198" s="16">
        <v>26761</v>
      </c>
      <c r="Y198" s="16">
        <f t="shared" si="331"/>
        <v>765364.6</v>
      </c>
      <c r="Z198" s="63">
        <f t="shared" si="336"/>
        <v>3552.7673221034006</v>
      </c>
      <c r="AA198" s="82">
        <f t="shared" si="327"/>
        <v>5.1999999999999998E-2</v>
      </c>
      <c r="AB198" s="72">
        <f t="shared" si="340"/>
        <v>6.2E-2</v>
      </c>
      <c r="AC198" s="18"/>
      <c r="AD198" s="16"/>
      <c r="AE198" s="17">
        <v>41699</v>
      </c>
      <c r="AF198" s="65">
        <f t="shared" si="390"/>
        <v>46.777712264150949</v>
      </c>
      <c r="AG198" s="66">
        <f t="shared" si="391"/>
        <v>67.740055989933467</v>
      </c>
      <c r="AH198" s="66">
        <f>AG198-((AG$20*AR$3)+(AR$4*AG198)+(AL198)+(20%*S198))</f>
        <v>48.490921075794283</v>
      </c>
      <c r="AI198" s="66">
        <f t="shared" si="392"/>
        <v>76.536459999999991</v>
      </c>
      <c r="AJ198" s="66">
        <f t="shared" si="393"/>
        <v>10.744897959183673</v>
      </c>
      <c r="AK198" s="66">
        <f t="shared" si="394"/>
        <v>35.527673221034007</v>
      </c>
      <c r="AL198" s="24">
        <f t="shared" si="395"/>
        <v>6.2445667687278927</v>
      </c>
      <c r="AM198" s="16"/>
      <c r="AN198" s="73">
        <f t="shared" ref="AN198" si="397">AN197+AF198</f>
        <v>660.57529972484281</v>
      </c>
      <c r="AO198" s="73">
        <f t="shared" ref="AO198" si="398">AO197+AI198</f>
        <v>895.04417000000001</v>
      </c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86">
        <f t="shared" si="334"/>
        <v>9.4726991183062825E-3</v>
      </c>
      <c r="BE198" s="86">
        <f t="shared" si="335"/>
        <v>2.2036358081271024E-2</v>
      </c>
      <c r="BF198" s="16"/>
      <c r="BG198" s="16"/>
      <c r="BH198" s="16"/>
      <c r="BI198" s="16"/>
    </row>
    <row r="199" spans="8:61" s="6" customFormat="1" ht="19" hidden="1" customHeight="1">
      <c r="H199" s="16"/>
      <c r="I199" s="16"/>
      <c r="J199" s="16"/>
      <c r="K199" s="16"/>
      <c r="L199" s="16"/>
      <c r="M199" s="16"/>
      <c r="N199" s="17">
        <v>41791</v>
      </c>
      <c r="O199" s="17"/>
      <c r="P199" s="16">
        <v>112.1</v>
      </c>
      <c r="Q199" s="60">
        <f t="shared" si="323"/>
        <v>0.84074999999999989</v>
      </c>
      <c r="R199" s="18">
        <f t="shared" si="347"/>
        <v>0.03</v>
      </c>
      <c r="S199" s="60">
        <f t="shared" si="330"/>
        <v>52.115579529069755</v>
      </c>
      <c r="T199" s="61">
        <f t="shared" si="325"/>
        <v>164.21557952906974</v>
      </c>
      <c r="U199" s="16">
        <v>3.075599499734571</v>
      </c>
      <c r="V199" s="16">
        <v>105.9</v>
      </c>
      <c r="W199" s="62">
        <f t="shared" si="326"/>
        <v>192.24204999999998</v>
      </c>
      <c r="X199" s="16">
        <v>26887</v>
      </c>
      <c r="Y199" s="16">
        <f t="shared" si="331"/>
        <v>768968.2</v>
      </c>
      <c r="Z199" s="63">
        <f t="shared" si="336"/>
        <v>3598.079049710178</v>
      </c>
      <c r="AA199" s="82">
        <f t="shared" si="327"/>
        <v>4.9499999999999995E-2</v>
      </c>
      <c r="AB199" s="72">
        <f t="shared" ref="AB199" si="399">AC199</f>
        <v>5.9499999999999997E-2</v>
      </c>
      <c r="AC199" s="64">
        <v>5.9499999999999997E-2</v>
      </c>
      <c r="AD199" s="16"/>
      <c r="AE199" s="17">
        <v>41791</v>
      </c>
      <c r="AF199" s="65">
        <f t="shared" si="390"/>
        <v>47.369300314465406</v>
      </c>
      <c r="AG199" s="66">
        <f t="shared" si="391"/>
        <v>68.677167829475181</v>
      </c>
      <c r="AH199" s="66">
        <f>AG199-((AG$20*AR$3)+(AR$4*AG199)+(AL199)+(20%*S199))</f>
        <v>49.10722176438847</v>
      </c>
      <c r="AI199" s="66">
        <f t="shared" si="392"/>
        <v>76.896819999999991</v>
      </c>
      <c r="AJ199" s="66">
        <f t="shared" si="393"/>
        <v>10.806122448979592</v>
      </c>
      <c r="AK199" s="66">
        <f t="shared" si="394"/>
        <v>35.980790497101779</v>
      </c>
      <c r="AL199" s="24">
        <f t="shared" si="395"/>
        <v>6.3597434460937539</v>
      </c>
      <c r="AM199" s="16"/>
      <c r="AN199" s="70">
        <f t="shared" si="319"/>
        <v>660.57529972484281</v>
      </c>
      <c r="AO199" s="70">
        <f t="shared" si="319"/>
        <v>895.04417000000001</v>
      </c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86">
        <f t="shared" si="334"/>
        <v>1.270960985935643E-2</v>
      </c>
      <c r="BE199" s="86">
        <f t="shared" si="335"/>
        <v>4.7083442322783942E-3</v>
      </c>
      <c r="BF199" s="16"/>
      <c r="BG199" s="16"/>
      <c r="BH199" s="16"/>
      <c r="BI199" s="16"/>
    </row>
    <row r="200" spans="8:61" s="6" customFormat="1" ht="19" hidden="1" customHeight="1">
      <c r="H200" s="16"/>
      <c r="I200" s="16"/>
      <c r="J200" s="16"/>
      <c r="K200" s="16"/>
      <c r="L200" s="16"/>
      <c r="M200" s="16"/>
      <c r="N200" s="17">
        <v>41883</v>
      </c>
      <c r="O200" s="17"/>
      <c r="P200" s="16">
        <v>113.1</v>
      </c>
      <c r="Q200" s="60">
        <f t="shared" si="323"/>
        <v>0.84824999999999995</v>
      </c>
      <c r="R200" s="18">
        <f t="shared" si="347"/>
        <v>0.03</v>
      </c>
      <c r="S200" s="60">
        <f t="shared" si="330"/>
        <v>52.963829529069756</v>
      </c>
      <c r="T200" s="61">
        <f t="shared" si="325"/>
        <v>166.06382952906975</v>
      </c>
      <c r="U200" s="16">
        <v>3.1186147686272392</v>
      </c>
      <c r="V200" s="16">
        <v>106.1</v>
      </c>
      <c r="W200" s="62">
        <f t="shared" si="326"/>
        <v>191.68434999999997</v>
      </c>
      <c r="X200" s="16">
        <v>26809</v>
      </c>
      <c r="Y200" s="16">
        <f t="shared" si="331"/>
        <v>766737.39999999991</v>
      </c>
      <c r="Z200" s="63">
        <f t="shared" si="336"/>
        <v>3641.8018423858616</v>
      </c>
      <c r="AA200" s="82">
        <f t="shared" si="327"/>
        <v>4.9499999999999995E-2</v>
      </c>
      <c r="AB200" s="72">
        <f t="shared" ref="AB200" si="400">AB199</f>
        <v>5.9499999999999997E-2</v>
      </c>
      <c r="AC200" s="18"/>
      <c r="AD200" s="16"/>
      <c r="AE200" s="17">
        <v>41883</v>
      </c>
      <c r="AF200" s="65">
        <f t="shared" si="390"/>
        <v>47.791863207547166</v>
      </c>
      <c r="AG200" s="66">
        <f t="shared" si="391"/>
        <v>69.450130880878945</v>
      </c>
      <c r="AH200" s="66">
        <f>AG200-((AG$20*AR$3)+(AR$4*AG200)+(AL200)+(20%*S200))</f>
        <v>49.563412170541802</v>
      </c>
      <c r="AI200" s="66">
        <f t="shared" si="392"/>
        <v>76.673739999999995</v>
      </c>
      <c r="AJ200" s="66">
        <f t="shared" si="393"/>
        <v>10.826530612244897</v>
      </c>
      <c r="AK200" s="66">
        <f t="shared" si="394"/>
        <v>36.418018423858619</v>
      </c>
      <c r="AL200" s="24">
        <f t="shared" si="395"/>
        <v>6.4759475692880342</v>
      </c>
      <c r="AM200" s="16"/>
      <c r="AN200" s="70">
        <f t="shared" si="319"/>
        <v>660.57529972484281</v>
      </c>
      <c r="AO200" s="70">
        <f t="shared" si="339"/>
        <v>895.04417000000001</v>
      </c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86">
        <f t="shared" si="334"/>
        <v>9.289680616469953E-3</v>
      </c>
      <c r="BE200" s="86">
        <f t="shared" si="335"/>
        <v>-2.9010302376613062E-3</v>
      </c>
      <c r="BF200" s="16"/>
      <c r="BG200" s="16"/>
      <c r="BH200" s="16"/>
      <c r="BI200" s="16"/>
    </row>
    <row r="201" spans="8:61" s="6" customFormat="1" ht="19" hidden="1" customHeight="1">
      <c r="H201" s="16"/>
      <c r="I201" s="16"/>
      <c r="J201" s="16"/>
      <c r="K201" s="16"/>
      <c r="L201" s="16"/>
      <c r="M201" s="16"/>
      <c r="N201" s="17">
        <v>41974</v>
      </c>
      <c r="O201" s="17"/>
      <c r="P201" s="16">
        <v>115.2</v>
      </c>
      <c r="Q201" s="60">
        <f t="shared" si="323"/>
        <v>0.86399999999999999</v>
      </c>
      <c r="R201" s="18">
        <f t="shared" si="347"/>
        <v>0.03</v>
      </c>
      <c r="S201" s="60">
        <f t="shared" si="330"/>
        <v>53.827829529069753</v>
      </c>
      <c r="T201" s="61">
        <f>S201+P201</f>
        <v>169.02782952906975</v>
      </c>
      <c r="U201" s="16">
        <v>3.1847678084595241</v>
      </c>
      <c r="V201" s="16">
        <v>106.3</v>
      </c>
      <c r="W201" s="62">
        <f t="shared" si="326"/>
        <v>182.32499999999999</v>
      </c>
      <c r="X201" s="16">
        <v>25500</v>
      </c>
      <c r="Y201" s="16">
        <f t="shared" si="331"/>
        <v>729300</v>
      </c>
      <c r="Z201" s="63">
        <f t="shared" si="336"/>
        <v>3686.0559415094995</v>
      </c>
      <c r="AA201" s="82">
        <f t="shared" si="327"/>
        <v>4.9499999999999995E-2</v>
      </c>
      <c r="AB201" s="72">
        <f t="shared" si="340"/>
        <v>5.9499999999999997E-2</v>
      </c>
      <c r="AC201" s="18"/>
      <c r="AD201" s="16"/>
      <c r="AE201" s="17">
        <v>41974</v>
      </c>
      <c r="AF201" s="65">
        <f t="shared" si="390"/>
        <v>48.679245283018872</v>
      </c>
      <c r="AG201" s="66">
        <f t="shared" si="391"/>
        <v>70.689715614741118</v>
      </c>
      <c r="AH201" s="66">
        <f>AG201-((AG$20*AR$3)+(AR$4*AG201)+(AL201)+(20%*S201))</f>
        <v>50.462251755615526</v>
      </c>
      <c r="AI201" s="66">
        <f t="shared" si="392"/>
        <v>72.930000000000007</v>
      </c>
      <c r="AJ201" s="66">
        <f t="shared" si="393"/>
        <v>10.846938775510203</v>
      </c>
      <c r="AK201" s="66">
        <f t="shared" si="394"/>
        <v>36.860559415094997</v>
      </c>
      <c r="AL201" s="24">
        <f t="shared" si="395"/>
        <v>6.5943093287219963</v>
      </c>
      <c r="AM201" s="16"/>
      <c r="AN201" s="70">
        <f t="shared" si="319"/>
        <v>660.57529972484281</v>
      </c>
      <c r="AO201" s="70">
        <f t="shared" si="339"/>
        <v>895.04417000000001</v>
      </c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86">
        <f t="shared" si="334"/>
        <v>1.813514335899491E-2</v>
      </c>
      <c r="BE201" s="86">
        <f t="shared" si="335"/>
        <v>-4.8826886493341659E-2</v>
      </c>
      <c r="BF201" s="16"/>
      <c r="BG201" s="16"/>
      <c r="BH201" s="16"/>
      <c r="BI201" s="16"/>
    </row>
    <row r="202" spans="8:61" s="6" customFormat="1" ht="19" hidden="1" customHeight="1">
      <c r="H202" s="16"/>
      <c r="I202" s="16"/>
      <c r="J202" s="16"/>
      <c r="K202" s="16"/>
      <c r="L202" s="16"/>
      <c r="M202" s="16"/>
      <c r="N202" s="17">
        <v>42064</v>
      </c>
      <c r="O202" s="17"/>
      <c r="P202" s="16">
        <v>115.9</v>
      </c>
      <c r="Q202" s="60">
        <f>(P202*R202)/4</f>
        <v>0.86924999999999997</v>
      </c>
      <c r="R202" s="76">
        <v>0.03</v>
      </c>
      <c r="S202" s="60">
        <f>Q202+S201</f>
        <v>54.697079529069754</v>
      </c>
      <c r="T202" s="61">
        <f t="shared" ref="T202:T206" si="401">S202+P202</f>
        <v>170.59707952906976</v>
      </c>
      <c r="U202" s="16">
        <v>3.2320529237635078</v>
      </c>
      <c r="V202" s="16">
        <v>106.4</v>
      </c>
      <c r="W202" s="62">
        <f t="shared" si="326"/>
        <v>216.68790000000001</v>
      </c>
      <c r="X202" s="16">
        <v>30306</v>
      </c>
      <c r="Y202" s="16">
        <f t="shared" si="331"/>
        <v>866751.60000000009</v>
      </c>
      <c r="Z202" s="63">
        <f t="shared" si="336"/>
        <v>3730.8478033599422</v>
      </c>
      <c r="AA202" s="82">
        <f t="shared" si="327"/>
        <v>4.9499999999999995E-2</v>
      </c>
      <c r="AB202" s="72">
        <f>AB201</f>
        <v>5.9499999999999997E-2</v>
      </c>
      <c r="AC202" s="18"/>
      <c r="AD202" s="16"/>
      <c r="AE202" s="17">
        <v>42064</v>
      </c>
      <c r="AF202" s="65">
        <f t="shared" si="390"/>
        <v>48.975039308176108</v>
      </c>
      <c r="AG202" s="66">
        <f t="shared" si="391"/>
        <v>71.345997107188225</v>
      </c>
      <c r="AH202" s="66">
        <f>AG202-((AG$20*AR$3)+(AR$4*AG202)+(AL202)+(20%*S202))</f>
        <v>50.799351016850892</v>
      </c>
      <c r="AI202" s="66">
        <f t="shared" si="392"/>
        <v>86.675160000000005</v>
      </c>
      <c r="AJ202" s="66">
        <f t="shared" si="393"/>
        <v>10.857142857142858</v>
      </c>
      <c r="AK202" s="66">
        <f t="shared" si="394"/>
        <v>37.308478033599421</v>
      </c>
      <c r="AL202" s="24">
        <f t="shared" si="395"/>
        <v>6.7133903002358526</v>
      </c>
      <c r="AM202" s="16"/>
      <c r="AN202" s="73">
        <f t="shared" ref="AN202" si="402">AN201+AF202</f>
        <v>709.55033903301887</v>
      </c>
      <c r="AO202" s="73">
        <f t="shared" ref="AO202" si="403">AO201+AI202</f>
        <v>981.71933000000001</v>
      </c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86">
        <f t="shared" si="334"/>
        <v>6.6802262980238947E-3</v>
      </c>
      <c r="BE202" s="86">
        <f t="shared" si="335"/>
        <v>0.18847058823529417</v>
      </c>
      <c r="BF202" s="16"/>
      <c r="BG202" s="16"/>
      <c r="BH202" s="16"/>
      <c r="BI202" s="16"/>
    </row>
    <row r="203" spans="8:61" s="6" customFormat="1" ht="19" hidden="1" customHeight="1">
      <c r="H203" s="16"/>
      <c r="I203" s="16"/>
      <c r="J203" s="16"/>
      <c r="K203" s="16"/>
      <c r="L203" s="16"/>
      <c r="M203" s="16"/>
      <c r="N203" s="17">
        <v>42156</v>
      </c>
      <c r="O203" s="17"/>
      <c r="P203" s="16">
        <v>120.8</v>
      </c>
      <c r="Q203" s="60">
        <f t="shared" ref="Q203:Q206" si="404">(P203*R203)/4</f>
        <v>0.90599999999999992</v>
      </c>
      <c r="R203" s="18">
        <f t="shared" si="347"/>
        <v>0.03</v>
      </c>
      <c r="S203" s="60">
        <f t="shared" ref="S203:S206" si="405">Q203+S202</f>
        <v>55.603079529069753</v>
      </c>
      <c r="T203" s="61">
        <f t="shared" si="401"/>
        <v>176.40307952906974</v>
      </c>
      <c r="U203" s="16"/>
      <c r="V203" s="16">
        <v>107.1</v>
      </c>
      <c r="W203" s="62">
        <f t="shared" si="326"/>
        <v>212.71965</v>
      </c>
      <c r="X203" s="16">
        <v>29751</v>
      </c>
      <c r="Y203" s="16">
        <f t="shared" si="331"/>
        <v>850878.6</v>
      </c>
      <c r="Z203" s="63">
        <f t="shared" si="336"/>
        <v>3776.183962670832</v>
      </c>
      <c r="AA203" s="82">
        <f t="shared" si="327"/>
        <v>4.4499999999999998E-2</v>
      </c>
      <c r="AB203" s="72">
        <f t="shared" ref="AB203:AB207" si="406">AC203</f>
        <v>5.45E-2</v>
      </c>
      <c r="AC203" s="64">
        <v>5.45E-2</v>
      </c>
      <c r="AD203" s="16"/>
      <c r="AE203" s="17">
        <v>42156</v>
      </c>
      <c r="AF203" s="65">
        <f t="shared" si="390"/>
        <v>51.045597484276733</v>
      </c>
      <c r="AG203" s="66">
        <f t="shared" si="391"/>
        <v>73.774144531211093</v>
      </c>
      <c r="AH203" s="66">
        <f>AG203-((AG$20*AR$3)+(AR$4*AG203)+(AL203)+(20%*S203))</f>
        <v>52.825057087839731</v>
      </c>
      <c r="AI203" s="66">
        <f t="shared" si="392"/>
        <v>85.087859999999992</v>
      </c>
      <c r="AJ203" s="66">
        <f t="shared" si="393"/>
        <v>10.928571428571427</v>
      </c>
      <c r="AK203" s="66">
        <f t="shared" si="394"/>
        <v>37.761839626708323</v>
      </c>
      <c r="AL203" s="24">
        <f t="shared" si="395"/>
        <v>6.8375057563089658</v>
      </c>
      <c r="AM203" s="16"/>
      <c r="AN203" s="70">
        <f t="shared" ref="AN203:AO205" si="407">AN202</f>
        <v>709.55033903301887</v>
      </c>
      <c r="AO203" s="70">
        <f t="shared" si="407"/>
        <v>981.71933000000001</v>
      </c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86">
        <f t="shared" si="334"/>
        <v>3.9876613193678079E-2</v>
      </c>
      <c r="BE203" s="86">
        <f t="shared" si="335"/>
        <v>-1.8313205305880209E-2</v>
      </c>
      <c r="BF203" s="16"/>
      <c r="BG203" s="16"/>
      <c r="BH203" s="16"/>
      <c r="BI203" s="16"/>
    </row>
    <row r="204" spans="8:61" s="6" customFormat="1" ht="19" hidden="1" customHeight="1">
      <c r="H204" s="16"/>
      <c r="I204" s="16"/>
      <c r="J204" s="16"/>
      <c r="K204" s="16"/>
      <c r="L204" s="16"/>
      <c r="M204" s="16"/>
      <c r="N204" s="17">
        <v>42248</v>
      </c>
      <c r="O204" s="17"/>
      <c r="P204" s="16">
        <v>124.3</v>
      </c>
      <c r="Q204" s="60">
        <f t="shared" si="404"/>
        <v>0.93224999999999991</v>
      </c>
      <c r="R204" s="18">
        <f t="shared" si="347"/>
        <v>0.03</v>
      </c>
      <c r="S204" s="60">
        <f t="shared" si="405"/>
        <v>56.535329529069756</v>
      </c>
      <c r="T204" s="61">
        <f t="shared" si="401"/>
        <v>180.83532952906975</v>
      </c>
      <c r="U204" s="16"/>
      <c r="V204" s="16">
        <v>107.6</v>
      </c>
      <c r="W204" s="62">
        <f t="shared" si="326"/>
        <v>200.40019999999998</v>
      </c>
      <c r="X204" s="16">
        <v>28028</v>
      </c>
      <c r="Y204" s="16">
        <f t="shared" si="331"/>
        <v>801600.79999999993</v>
      </c>
      <c r="Z204" s="63">
        <f t="shared" si="336"/>
        <v>3817.5106257097696</v>
      </c>
      <c r="AA204" s="82">
        <f t="shared" si="327"/>
        <v>4.4499999999999998E-2</v>
      </c>
      <c r="AB204" s="72">
        <v>5.45E-2</v>
      </c>
      <c r="AC204" s="18"/>
      <c r="AD204" s="16"/>
      <c r="AE204" s="17">
        <v>42248</v>
      </c>
      <c r="AF204" s="65">
        <f t="shared" si="390"/>
        <v>52.524567610062896</v>
      </c>
      <c r="AG204" s="66">
        <f t="shared" si="391"/>
        <v>75.627771196751112</v>
      </c>
      <c r="AH204" s="66">
        <f>AG204-((AG$20*AR$3)+(AR$4*AG204)+(AL204)+(20%*S204))</f>
        <v>54.290377170285566</v>
      </c>
      <c r="AI204" s="66">
        <f t="shared" si="392"/>
        <v>80.160079999999994</v>
      </c>
      <c r="AJ204" s="66">
        <f t="shared" si="393"/>
        <v>10.979591836734693</v>
      </c>
      <c r="AK204" s="66">
        <f t="shared" si="394"/>
        <v>38.175106257097696</v>
      </c>
      <c r="AL204" s="24">
        <f t="shared" si="395"/>
        <v>6.9652172727815485</v>
      </c>
      <c r="AM204" s="16"/>
      <c r="AN204" s="70">
        <f t="shared" si="407"/>
        <v>709.55033903301887</v>
      </c>
      <c r="AO204" s="70">
        <f t="shared" si="339"/>
        <v>981.71933000000001</v>
      </c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86">
        <f t="shared" si="334"/>
        <v>2.7739110248555798E-2</v>
      </c>
      <c r="BE204" s="86">
        <f t="shared" si="335"/>
        <v>-5.7914019696816865E-2</v>
      </c>
      <c r="BF204" s="16"/>
      <c r="BG204" s="16"/>
      <c r="BH204" s="16"/>
      <c r="BI204" s="16"/>
    </row>
    <row r="205" spans="8:61" s="6" customFormat="1" ht="19" hidden="1" customHeight="1">
      <c r="H205" s="16"/>
      <c r="I205" s="16"/>
      <c r="J205" s="16"/>
      <c r="K205" s="16"/>
      <c r="L205" s="16"/>
      <c r="M205" s="16"/>
      <c r="N205" s="17">
        <v>42339</v>
      </c>
      <c r="O205" s="17"/>
      <c r="P205" s="16">
        <v>126.3</v>
      </c>
      <c r="Q205" s="60">
        <f t="shared" si="404"/>
        <v>0.94724999999999993</v>
      </c>
      <c r="R205" s="18">
        <f t="shared" si="347"/>
        <v>0.03</v>
      </c>
      <c r="S205" s="60">
        <f t="shared" si="405"/>
        <v>57.482579529069753</v>
      </c>
      <c r="T205" s="61">
        <f t="shared" si="401"/>
        <v>183.78257952906975</v>
      </c>
      <c r="U205" s="16"/>
      <c r="V205" s="16">
        <v>108.3</v>
      </c>
      <c r="W205" s="62">
        <f t="shared" si="326"/>
        <v>213.67060000000001</v>
      </c>
      <c r="X205" s="16">
        <v>29884</v>
      </c>
      <c r="Y205" s="16">
        <f t="shared" si="331"/>
        <v>854682.4</v>
      </c>
      <c r="Z205" s="63">
        <f t="shared" si="336"/>
        <v>3859.2895689063525</v>
      </c>
      <c r="AA205" s="82">
        <f t="shared" si="327"/>
        <v>4.65E-2</v>
      </c>
      <c r="AB205" s="72">
        <v>5.6500000000000002E-2</v>
      </c>
      <c r="AC205" s="18"/>
      <c r="AD205" s="16"/>
      <c r="AE205" s="17">
        <v>42339</v>
      </c>
      <c r="AF205" s="65">
        <f t="shared" si="390"/>
        <v>53.369693396226417</v>
      </c>
      <c r="AG205" s="66">
        <f t="shared" si="391"/>
        <v>76.86035085494116</v>
      </c>
      <c r="AH205" s="66">
        <f>AG205-((AG$20*AR$3)+(AR$4*AG205)+(AL205)+(20%*S205))</f>
        <v>55.154437234018594</v>
      </c>
      <c r="AI205" s="66">
        <f t="shared" si="392"/>
        <v>85.468240000000009</v>
      </c>
      <c r="AJ205" s="66">
        <f t="shared" si="393"/>
        <v>11.051020408163264</v>
      </c>
      <c r="AK205" s="66">
        <f t="shared" si="394"/>
        <v>38.592895689063525</v>
      </c>
      <c r="AL205" s="24">
        <f t="shared" si="395"/>
        <v>7.0949836809109703</v>
      </c>
      <c r="AM205" s="16"/>
      <c r="AN205" s="70">
        <f t="shared" si="407"/>
        <v>709.55033903301887</v>
      </c>
      <c r="AO205" s="70">
        <f t="shared" si="339"/>
        <v>981.71933000000001</v>
      </c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86">
        <f t="shared" si="334"/>
        <v>1.5915528842668447E-2</v>
      </c>
      <c r="BE205" s="86">
        <f t="shared" si="335"/>
        <v>6.6219494790923594E-2</v>
      </c>
      <c r="BF205" s="16"/>
      <c r="BG205" s="16"/>
      <c r="BH205" s="16"/>
      <c r="BI205" s="16"/>
    </row>
    <row r="206" spans="8:61" s="6" customFormat="1" ht="19" hidden="1" customHeight="1">
      <c r="H206" s="16"/>
      <c r="I206" s="16"/>
      <c r="J206" s="16"/>
      <c r="K206" s="16"/>
      <c r="L206" s="16"/>
      <c r="M206" s="16"/>
      <c r="N206" s="17">
        <v>42430</v>
      </c>
      <c r="O206" s="17"/>
      <c r="P206" s="16">
        <v>127.3</v>
      </c>
      <c r="Q206" s="60">
        <f>(P206*R206)/4</f>
        <v>0.95474999999999999</v>
      </c>
      <c r="R206" s="76">
        <v>0.03</v>
      </c>
      <c r="S206" s="60">
        <f t="shared" si="405"/>
        <v>58.43732952906975</v>
      </c>
      <c r="T206" s="61">
        <f t="shared" si="401"/>
        <v>185.73732952906974</v>
      </c>
      <c r="U206" s="16"/>
      <c r="V206" s="16">
        <v>108.2</v>
      </c>
      <c r="W206" s="62">
        <f t="shared" si="326"/>
        <v>208.64415</v>
      </c>
      <c r="X206" s="16">
        <v>29181</v>
      </c>
      <c r="Y206" s="16">
        <f t="shared" si="331"/>
        <v>834576.6</v>
      </c>
      <c r="Z206" s="63">
        <f t="shared" si="336"/>
        <v>3903.3920548030437</v>
      </c>
      <c r="AA206" s="82">
        <f t="shared" si="327"/>
        <v>4.65E-2</v>
      </c>
      <c r="AB206" s="72">
        <f>AB205</f>
        <v>5.6500000000000002E-2</v>
      </c>
      <c r="AC206" s="18"/>
      <c r="AD206" s="16"/>
      <c r="AE206" s="17">
        <v>42430</v>
      </c>
      <c r="AF206" s="65">
        <f t="shared" si="390"/>
        <v>53.792256289308177</v>
      </c>
      <c r="AG206" s="66">
        <f t="shared" si="391"/>
        <v>77.677853641215464</v>
      </c>
      <c r="AH206" s="66">
        <f>AG206-((AG$20*AR$3)+(AR$4*AG206)+(AL206)+(20%*S206))</f>
        <v>55.617496054884086</v>
      </c>
      <c r="AI206" s="66">
        <f t="shared" si="392"/>
        <v>83.457660000000004</v>
      </c>
      <c r="AJ206" s="66">
        <f t="shared" si="393"/>
        <v>11.040816326530612</v>
      </c>
      <c r="AK206" s="66">
        <f t="shared" si="394"/>
        <v>39.033920548030437</v>
      </c>
      <c r="AL206" s="24">
        <f t="shared" si="395"/>
        <v>7.2257775348688122</v>
      </c>
      <c r="AM206" s="16"/>
      <c r="AN206" s="73">
        <f t="shared" ref="AN206" si="408">AN205+AF206</f>
        <v>763.34259532232704</v>
      </c>
      <c r="AO206" s="73">
        <f t="shared" ref="AO206" si="409">AO205+AI206</f>
        <v>1065.1769899999999</v>
      </c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86">
        <f t="shared" si="334"/>
        <v>8.3956766506518843E-3</v>
      </c>
      <c r="BE206" s="86">
        <f t="shared" si="335"/>
        <v>-2.3524293936554752E-2</v>
      </c>
      <c r="BF206" s="16"/>
      <c r="BG206" s="16"/>
      <c r="BH206" s="16"/>
      <c r="BI206" s="16"/>
    </row>
    <row r="207" spans="8:61" s="6" customFormat="1" ht="19" hidden="1" customHeight="1">
      <c r="H207" s="16"/>
      <c r="I207" s="16"/>
      <c r="J207" s="16"/>
      <c r="K207" s="16"/>
      <c r="L207" s="16"/>
      <c r="M207" s="16"/>
      <c r="N207" s="17"/>
      <c r="O207" s="17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63">
        <f t="shared" si="336"/>
        <v>3947.9985270494349</v>
      </c>
      <c r="AA207" s="82">
        <f t="shared" si="327"/>
        <v>4.65E-2</v>
      </c>
      <c r="AB207" s="72">
        <f>AB206</f>
        <v>5.6500000000000002E-2</v>
      </c>
      <c r="AC207" s="64">
        <v>5.6500000000000002E-2</v>
      </c>
      <c r="AD207" s="16"/>
      <c r="AE207" s="17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</row>
    <row r="208" spans="8:61" s="6" customFormat="1" ht="19" hidden="1" customHeight="1">
      <c r="H208" s="16"/>
      <c r="I208" s="16"/>
      <c r="J208" s="16"/>
      <c r="K208" s="16"/>
      <c r="L208" s="16"/>
      <c r="M208" s="16"/>
      <c r="N208" s="17"/>
      <c r="O208" s="17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8"/>
      <c r="AD208" s="16"/>
      <c r="AE208" s="17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</row>
    <row r="209" spans="8:61" s="6" customFormat="1" ht="19" hidden="1" customHeight="1">
      <c r="H209" s="16"/>
      <c r="I209" s="16"/>
      <c r="J209" s="16"/>
      <c r="K209" s="16"/>
      <c r="L209" s="16"/>
      <c r="M209" s="16"/>
      <c r="N209" s="17"/>
      <c r="O209" s="17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8"/>
      <c r="AD209" s="16"/>
      <c r="AE209" s="80">
        <f>AE19</f>
        <v>0</v>
      </c>
      <c r="AF209" s="80" t="str">
        <f t="shared" ref="AF209:AO209" si="410">AF19</f>
        <v>Melbourne Residential Homes - Price</v>
      </c>
      <c r="AG209" s="80" t="str">
        <f t="shared" si="410"/>
        <v>Melbourne Home Prices (Nominal)</v>
      </c>
      <c r="AH209" s="80" t="str">
        <f t="shared" si="410"/>
        <v>Melbourne Residential Property - Investment Return (Net Fees)</v>
      </c>
      <c r="AI209" s="80" t="str">
        <f t="shared" si="410"/>
        <v>Australian Shares - Total Return</v>
      </c>
      <c r="AJ209" s="80" t="str">
        <f t="shared" si="410"/>
        <v>Inflation</v>
      </c>
      <c r="AK209" s="80" t="str">
        <f t="shared" si="410"/>
        <v>Interest Expenses (investment 100% financed)</v>
      </c>
      <c r="AL209" s="80" t="str">
        <f t="shared" si="410"/>
        <v>Property Fees - Insurance, Maintenance, Council (Cumulative)</v>
      </c>
      <c r="AM209" s="80">
        <f t="shared" si="410"/>
        <v>0</v>
      </c>
      <c r="AN209" s="80" t="str">
        <f t="shared" si="410"/>
        <v>Price cumulative (use this to calculate % based fees)</v>
      </c>
      <c r="AO209" s="80" t="str">
        <f t="shared" si="410"/>
        <v>Price Cum - Shares</v>
      </c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27">
        <f>AVERAGE(BD22:BD206)</f>
        <v>2.3153987539495512E-2</v>
      </c>
      <c r="BE209" s="27">
        <f>AVERAGE(BE22:BE206)</f>
        <v>2.7196192799503627E-2</v>
      </c>
      <c r="BF209" s="16"/>
      <c r="BG209" s="16"/>
      <c r="BH209" s="16"/>
      <c r="BI209" s="16"/>
    </row>
    <row r="210" spans="8:61" s="6" customFormat="1" ht="19" hidden="1" customHeight="1">
      <c r="H210" s="16"/>
      <c r="I210" s="16"/>
      <c r="J210" s="16"/>
      <c r="K210" s="16"/>
      <c r="L210" s="16"/>
      <c r="M210" s="16"/>
      <c r="N210" s="17"/>
      <c r="O210" s="17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8"/>
      <c r="AD210" s="16"/>
      <c r="AE210" s="17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</row>
    <row r="211" spans="8:61" s="6" customFormat="1" ht="19" hidden="1" customHeight="1">
      <c r="H211" s="16"/>
      <c r="I211" s="16"/>
      <c r="J211" s="16"/>
      <c r="K211" s="16"/>
      <c r="L211" s="16"/>
      <c r="M211" s="16"/>
      <c r="N211" s="17"/>
      <c r="O211" s="17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8"/>
      <c r="AD211" s="16"/>
      <c r="AE211" s="17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</row>
    <row r="212" spans="8:61" s="6" customFormat="1" ht="19" hidden="1" customHeight="1">
      <c r="H212" s="16"/>
      <c r="I212" s="16"/>
      <c r="J212" s="16"/>
      <c r="K212" s="16"/>
      <c r="L212" s="16"/>
      <c r="M212" s="16"/>
      <c r="N212" s="17"/>
      <c r="O212" s="17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8"/>
      <c r="AD212" s="16"/>
      <c r="AE212" s="17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</row>
    <row r="213" spans="8:61" s="6" customFormat="1" ht="19" hidden="1" customHeight="1">
      <c r="H213" s="16"/>
      <c r="I213" s="16"/>
      <c r="J213" s="16"/>
      <c r="K213" s="16"/>
      <c r="L213" s="16"/>
      <c r="M213" s="16"/>
      <c r="N213" s="17"/>
      <c r="O213" s="17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8"/>
      <c r="AD213" s="16"/>
      <c r="AE213" s="17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</row>
    <row r="214" spans="8:61" s="6" customFormat="1" ht="19" hidden="1" customHeight="1">
      <c r="H214" s="16"/>
      <c r="I214" s="16"/>
      <c r="J214" s="16"/>
      <c r="K214" s="16"/>
      <c r="L214" s="16"/>
      <c r="M214" s="16"/>
      <c r="N214" s="17"/>
      <c r="O214" s="17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8"/>
      <c r="AD214" s="16"/>
      <c r="AE214" s="17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</row>
    <row r="215" spans="8:61" s="6" customFormat="1" ht="19" hidden="1" customHeight="1">
      <c r="H215" s="16"/>
      <c r="I215" s="16"/>
      <c r="J215" s="16"/>
      <c r="K215" s="16"/>
      <c r="L215" s="16"/>
      <c r="M215" s="16"/>
      <c r="N215" s="17"/>
      <c r="O215" s="17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8"/>
      <c r="AD215" s="16"/>
      <c r="AE215" s="17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</row>
    <row r="216" spans="8:61" s="6" customFormat="1" ht="19" hidden="1" customHeight="1">
      <c r="H216" s="16"/>
      <c r="I216" s="16"/>
      <c r="J216" s="16"/>
      <c r="K216" s="16"/>
      <c r="L216" s="16"/>
      <c r="M216" s="16"/>
      <c r="N216" s="17"/>
      <c r="O216" s="17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8"/>
      <c r="AD216" s="16"/>
      <c r="AE216" s="17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</row>
    <row r="217" spans="8:61" s="6" customFormat="1" ht="19" hidden="1" customHeight="1">
      <c r="H217" s="16"/>
      <c r="I217" s="16"/>
      <c r="J217" s="16"/>
      <c r="K217" s="16"/>
      <c r="L217" s="16"/>
      <c r="M217" s="16"/>
      <c r="N217" s="17"/>
      <c r="O217" s="17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8"/>
      <c r="AD217" s="16"/>
      <c r="AE217" s="17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</row>
    <row r="218" spans="8:61" s="6" customFormat="1" ht="19" hidden="1" customHeight="1">
      <c r="H218" s="16"/>
      <c r="I218" s="16"/>
      <c r="J218" s="16"/>
      <c r="K218" s="16"/>
      <c r="L218" s="16"/>
      <c r="M218" s="16"/>
      <c r="N218" s="17"/>
      <c r="O218" s="17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8"/>
      <c r="AD218" s="16"/>
      <c r="AE218" s="17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</row>
    <row r="219" spans="8:61" s="6" customFormat="1" ht="19" hidden="1" customHeight="1">
      <c r="H219" s="16"/>
      <c r="I219" s="16"/>
      <c r="J219" s="16"/>
      <c r="K219" s="16"/>
      <c r="L219" s="16"/>
      <c r="M219" s="16"/>
      <c r="N219" s="17"/>
      <c r="O219" s="17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8"/>
      <c r="AD219" s="16"/>
      <c r="AE219" s="17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</row>
    <row r="220" spans="8:61" s="6" customFormat="1" ht="19" hidden="1" customHeight="1">
      <c r="H220" s="16"/>
      <c r="I220" s="16"/>
      <c r="J220" s="16"/>
      <c r="K220" s="16"/>
      <c r="L220" s="16"/>
      <c r="M220" s="16"/>
      <c r="N220" s="17"/>
      <c r="O220" s="17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8"/>
      <c r="AD220" s="16"/>
      <c r="AE220" s="17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</row>
    <row r="221" spans="8:61" s="6" customFormat="1" ht="19" hidden="1" customHeight="1">
      <c r="H221" s="16"/>
      <c r="I221" s="16"/>
      <c r="J221" s="16"/>
      <c r="K221" s="16"/>
      <c r="L221" s="16"/>
      <c r="M221" s="16"/>
      <c r="N221" s="17"/>
      <c r="O221" s="17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8"/>
      <c r="AD221" s="16"/>
      <c r="AE221" s="17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</row>
    <row r="222" spans="8:61" s="6" customFormat="1" ht="19" hidden="1" customHeight="1">
      <c r="H222" s="16"/>
      <c r="I222" s="16"/>
      <c r="J222" s="16"/>
      <c r="K222" s="16"/>
      <c r="L222" s="16"/>
      <c r="M222" s="16"/>
      <c r="N222" s="17"/>
      <c r="O222" s="17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8"/>
      <c r="AD222" s="16"/>
      <c r="AE222" s="17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</row>
    <row r="223" spans="8:61" s="6" customFormat="1" ht="19" hidden="1" customHeight="1">
      <c r="H223" s="16"/>
      <c r="I223" s="16"/>
      <c r="J223" s="16"/>
      <c r="K223" s="16"/>
      <c r="L223" s="16"/>
      <c r="M223" s="16"/>
      <c r="N223" s="17"/>
      <c r="O223" s="17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8"/>
      <c r="AD223" s="16"/>
      <c r="AE223" s="17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</row>
    <row r="224" spans="8:61" s="6" customFormat="1" ht="19" hidden="1" customHeight="1">
      <c r="H224" s="16"/>
      <c r="I224" s="16"/>
      <c r="J224" s="16"/>
      <c r="K224" s="16"/>
      <c r="L224" s="16"/>
      <c r="M224" s="16"/>
      <c r="N224" s="17"/>
      <c r="O224" s="17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8"/>
      <c r="AD224" s="16"/>
      <c r="AE224" s="17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</row>
    <row r="225" spans="8:61" s="6" customFormat="1" ht="19" hidden="1" customHeight="1">
      <c r="H225" s="16"/>
      <c r="I225" s="16"/>
      <c r="J225" s="16"/>
      <c r="K225" s="16"/>
      <c r="L225" s="16"/>
      <c r="M225" s="16"/>
      <c r="N225" s="17"/>
      <c r="O225" s="17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8"/>
      <c r="AD225" s="16"/>
      <c r="AE225" s="17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</row>
    <row r="226" spans="8:61" s="6" customFormat="1" ht="19" hidden="1" customHeight="1">
      <c r="H226" s="16"/>
      <c r="I226" s="16"/>
      <c r="J226" s="16"/>
      <c r="K226" s="16"/>
      <c r="L226" s="16"/>
      <c r="M226" s="16"/>
      <c r="N226" s="17"/>
      <c r="O226" s="17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8"/>
      <c r="AD226" s="16"/>
      <c r="AE226" s="17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</row>
    <row r="227" spans="8:61" s="6" customFormat="1" ht="19" hidden="1" customHeight="1">
      <c r="H227" s="16"/>
      <c r="I227" s="16"/>
      <c r="J227" s="16"/>
      <c r="K227" s="16"/>
      <c r="L227" s="16"/>
      <c r="M227" s="16"/>
      <c r="N227" s="17"/>
      <c r="O227" s="17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8"/>
      <c r="AD227" s="16"/>
      <c r="AE227" s="17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</row>
    <row r="228" spans="8:61" s="6" customFormat="1" ht="19" hidden="1" customHeight="1">
      <c r="H228" s="16"/>
      <c r="I228" s="16"/>
      <c r="J228" s="16"/>
      <c r="K228" s="16"/>
      <c r="L228" s="16"/>
      <c r="M228" s="16"/>
      <c r="N228" s="17"/>
      <c r="O228" s="17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8"/>
      <c r="AD228" s="16"/>
      <c r="AE228" s="17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</row>
    <row r="229" spans="8:61" s="6" customFormat="1" ht="19" hidden="1" customHeight="1">
      <c r="H229" s="16"/>
      <c r="I229" s="16"/>
      <c r="J229" s="16"/>
      <c r="K229" s="16"/>
      <c r="L229" s="16"/>
      <c r="M229" s="16"/>
      <c r="N229" s="17"/>
      <c r="O229" s="17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8"/>
      <c r="AD229" s="16"/>
      <c r="AE229" s="17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</row>
    <row r="230" spans="8:61" s="6" customFormat="1" ht="19" hidden="1" customHeight="1">
      <c r="H230" s="16"/>
      <c r="I230" s="16"/>
      <c r="J230" s="16"/>
      <c r="K230" s="16"/>
      <c r="L230" s="16"/>
      <c r="M230" s="16"/>
      <c r="N230" s="17"/>
      <c r="O230" s="17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8"/>
      <c r="AD230" s="16"/>
      <c r="AE230" s="17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</row>
    <row r="231" spans="8:61" s="6" customFormat="1" ht="19" hidden="1" customHeight="1">
      <c r="H231" s="16"/>
      <c r="I231" s="16"/>
      <c r="J231" s="16"/>
      <c r="K231" s="16"/>
      <c r="L231" s="16"/>
      <c r="M231" s="16"/>
      <c r="N231" s="17"/>
      <c r="O231" s="17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8"/>
      <c r="AD231" s="16"/>
      <c r="AE231" s="17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</row>
    <row r="232" spans="8:61" s="6" customFormat="1" ht="19" hidden="1" customHeight="1">
      <c r="H232" s="16"/>
      <c r="I232" s="16"/>
      <c r="J232" s="16"/>
      <c r="K232" s="16"/>
      <c r="L232" s="16"/>
      <c r="M232" s="16"/>
      <c r="N232" s="17"/>
      <c r="O232" s="17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8"/>
      <c r="AD232" s="16"/>
      <c r="AE232" s="17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</row>
    <row r="233" spans="8:61" s="6" customFormat="1" ht="19" hidden="1" customHeight="1">
      <c r="H233" s="16"/>
      <c r="I233" s="16"/>
      <c r="J233" s="16"/>
      <c r="K233" s="16"/>
      <c r="L233" s="16"/>
      <c r="M233" s="16"/>
      <c r="N233" s="17"/>
      <c r="O233" s="17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8"/>
      <c r="AD233" s="16"/>
      <c r="AE233" s="17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</row>
    <row r="234" spans="8:61" s="6" customFormat="1" ht="19" hidden="1" customHeight="1">
      <c r="H234" s="16"/>
      <c r="I234" s="16"/>
      <c r="J234" s="16"/>
      <c r="K234" s="16"/>
      <c r="L234" s="16"/>
      <c r="M234" s="16"/>
      <c r="N234" s="17"/>
      <c r="O234" s="17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8"/>
      <c r="AD234" s="16"/>
      <c r="AE234" s="17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</row>
    <row r="235" spans="8:61" s="6" customFormat="1" ht="19" hidden="1" customHeight="1">
      <c r="H235" s="16"/>
      <c r="I235" s="16"/>
      <c r="J235" s="16"/>
      <c r="K235" s="16"/>
      <c r="L235" s="16"/>
      <c r="M235" s="16"/>
      <c r="N235" s="17"/>
      <c r="O235" s="17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8"/>
      <c r="AD235" s="16"/>
      <c r="AE235" s="17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</row>
    <row r="236" spans="8:61" s="6" customFormat="1" ht="19" hidden="1" customHeight="1">
      <c r="H236" s="16"/>
      <c r="I236" s="16"/>
      <c r="J236" s="16"/>
      <c r="K236" s="16"/>
      <c r="L236" s="16"/>
      <c r="M236" s="16"/>
      <c r="N236" s="17"/>
      <c r="O236" s="17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8"/>
      <c r="AD236" s="16"/>
      <c r="AE236" s="17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</row>
    <row r="237" spans="8:61" s="6" customFormat="1" ht="19" hidden="1" customHeight="1">
      <c r="H237" s="16"/>
      <c r="I237" s="16"/>
      <c r="J237" s="16"/>
      <c r="K237" s="16"/>
      <c r="L237" s="16"/>
      <c r="M237" s="16"/>
      <c r="N237" s="17"/>
      <c r="O237" s="17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8"/>
      <c r="AD237" s="16"/>
      <c r="AE237" s="17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</row>
    <row r="238" spans="8:61" s="6" customFormat="1" ht="19" hidden="1" customHeight="1">
      <c r="H238" s="16"/>
      <c r="I238" s="16"/>
      <c r="J238" s="16"/>
      <c r="K238" s="16"/>
      <c r="L238" s="16"/>
      <c r="M238" s="16"/>
      <c r="N238" s="17"/>
      <c r="O238" s="17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8"/>
      <c r="AD238" s="16"/>
      <c r="AE238" s="17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</row>
    <row r="239" spans="8:61" s="6" customFormat="1" ht="19" hidden="1" customHeight="1">
      <c r="H239" s="16"/>
      <c r="I239" s="16"/>
      <c r="J239" s="16"/>
      <c r="K239" s="16"/>
      <c r="L239" s="16"/>
      <c r="M239" s="16"/>
      <c r="N239" s="17"/>
      <c r="O239" s="17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8"/>
      <c r="AD239" s="16"/>
      <c r="AE239" s="17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</row>
    <row r="240" spans="8:61" s="6" customFormat="1" ht="19" hidden="1" customHeight="1">
      <c r="H240" s="16"/>
      <c r="I240" s="16"/>
      <c r="J240" s="16"/>
      <c r="K240" s="16"/>
      <c r="L240" s="16"/>
      <c r="M240" s="16"/>
      <c r="N240" s="17"/>
      <c r="O240" s="17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8"/>
      <c r="AD240" s="16"/>
      <c r="AE240" s="17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</row>
    <row r="241" spans="8:61" s="6" customFormat="1" ht="19" hidden="1" customHeight="1">
      <c r="H241" s="16"/>
      <c r="I241" s="16"/>
      <c r="J241" s="16"/>
      <c r="K241" s="16"/>
      <c r="L241" s="16"/>
      <c r="M241" s="16"/>
      <c r="N241" s="17"/>
      <c r="O241" s="17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8"/>
      <c r="AD241" s="16"/>
      <c r="AE241" s="17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</row>
    <row r="242" spans="8:61" s="6" customFormat="1" ht="19" hidden="1" customHeight="1">
      <c r="H242" s="16"/>
      <c r="I242" s="16"/>
      <c r="J242" s="16"/>
      <c r="K242" s="16"/>
      <c r="L242" s="16"/>
      <c r="M242" s="16"/>
      <c r="N242" s="17"/>
      <c r="O242" s="17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8"/>
      <c r="AD242" s="16"/>
      <c r="AE242" s="17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</row>
    <row r="243" spans="8:61" s="6" customFormat="1" hidden="1">
      <c r="H243" s="16"/>
      <c r="I243" s="16"/>
      <c r="J243" s="16"/>
      <c r="K243" s="16"/>
      <c r="L243" s="16"/>
      <c r="M243" s="16"/>
      <c r="N243" s="17"/>
      <c r="O243" s="17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8"/>
      <c r="AD243" s="16"/>
      <c r="AE243" s="17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</row>
    <row r="244" spans="8:61" hidden="1"/>
    <row r="245" spans="8:61" hidden="1"/>
    <row r="246" spans="8:61" hidden="1"/>
    <row r="247" spans="8:61" hidden="1"/>
    <row r="248" spans="8:61" hidden="1"/>
    <row r="249" spans="8:61" hidden="1"/>
    <row r="250" spans="8:61" hidden="1"/>
    <row r="251" spans="8:61" hidden="1"/>
    <row r="252" spans="8:61" hidden="1"/>
    <row r="253" spans="8:61" hidden="1"/>
    <row r="254" spans="8:61" hidden="1"/>
    <row r="255" spans="8:61" hidden="1"/>
    <row r="256" spans="8:61" hidden="1"/>
  </sheetData>
  <sheetProtection password="E4D6" sheet="1" objects="1" scenarios="1" selectLockedCells="1"/>
  <sortState ref="B28:B34">
    <sortCondition ref="B28:B34"/>
  </sortState>
  <dataValidations count="2">
    <dataValidation type="list" allowBlank="1" showInputMessage="1" showErrorMessage="1" sqref="C3">
      <formula1>$N$20:$N$205</formula1>
    </dataValidation>
    <dataValidation type="list" allowBlank="1" showInputMessage="1" showErrorMessage="1" sqref="C4">
      <formula1>$N$20:$N$206</formula1>
    </dataValidation>
  </dataValidations>
  <hyperlinks>
    <hyperlink ref="B1" r:id="rId1" display="www.thirdsectoradvantage.com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Insight Wealth Solutions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Mitchell</dc:creator>
  <cp:lastModifiedBy>Joel Mitchell</cp:lastModifiedBy>
  <dcterms:created xsi:type="dcterms:W3CDTF">2015-09-01T22:10:03Z</dcterms:created>
  <dcterms:modified xsi:type="dcterms:W3CDTF">2016-07-17T04:50:07Z</dcterms:modified>
</cp:coreProperties>
</file>